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cielle.fernandes\Desktop\"/>
    </mc:Choice>
  </mc:AlternateContent>
  <bookViews>
    <workbookView xWindow="0" yWindow="0" windowWidth="28800" windowHeight="12330" activeTab="1"/>
  </bookViews>
  <sheets>
    <sheet name="QUADRO RESUMO" sheetId="6" r:id="rId1"/>
    <sheet name="PLANILHA ORÇAMENTÁRIA" sheetId="1" r:id="rId2"/>
    <sheet name="COMP. PRÓPRIA" sheetId="2" r:id="rId3"/>
    <sheet name="MEMÓRIA DE CALCULO" sheetId="3" r:id="rId4"/>
    <sheet name="MAPA DE COTAÇÃO" sheetId="4" state="hidden" r:id="rId5"/>
    <sheet name="CRONOGRAMA" sheetId="5" r:id="rId6"/>
    <sheet name="MAPA COTAÇÃO" sheetId="10" state="hidden" r:id="rId7"/>
    <sheet name="Cronograma (2)" sheetId="11" state="hidden" r:id="rId8"/>
    <sheet name="BDI ENG. ELÉTRICA" sheetId="7" r:id="rId9"/>
    <sheet name="BDI FORNECIMENTO MATERIAL"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c" localSheetId="6">[1]SID_NI_5!#REF!</definedName>
    <definedName name="\c">[1]SID_NI_5!#REF!</definedName>
    <definedName name="\p" localSheetId="6">[1]SID_NI_5!#REF!</definedName>
    <definedName name="\p">[1]SID_NI_5!#REF!</definedName>
    <definedName name="___CCM30" localSheetId="6">#REF!</definedName>
    <definedName name="___CCM30">#REF!</definedName>
    <definedName name="___la2" localSheetId="6">#REF!</definedName>
    <definedName name="___la2">#REF!</definedName>
    <definedName name="___PCM30" localSheetId="6">#REF!</definedName>
    <definedName name="___PCM30">#REF!</definedName>
    <definedName name="___PLA2" localSheetId="6">#REF!</definedName>
    <definedName name="___PLA2">#REF!</definedName>
    <definedName name="___PTB10" localSheetId="6">#REF!</definedName>
    <definedName name="___PTB10">#REF!</definedName>
    <definedName name="___TB10" localSheetId="6">#REF!</definedName>
    <definedName name="___TB10">#REF!</definedName>
    <definedName name="___TCB4">[2]TLCB5!$I$31</definedName>
    <definedName name="___TCM30">'[3]Mat. Bet.'!$F$25</definedName>
    <definedName name="___TOT6" localSheetId="6">#REF!</definedName>
    <definedName name="___TOT6">#REF!</definedName>
    <definedName name="___TOT7" localSheetId="6">#REF!</definedName>
    <definedName name="___TOT7">#REF!</definedName>
    <definedName name="___TSD2" localSheetId="6">#REF!</definedName>
    <definedName name="___TSD2">#REF!</definedName>
    <definedName name="__CAP20" localSheetId="6">#REF!</definedName>
    <definedName name="__CAP20">#REF!</definedName>
    <definedName name="__CCM30" localSheetId="6">#REF!</definedName>
    <definedName name="__CCM30">#REF!</definedName>
    <definedName name="__DAR02" localSheetId="6">[4]Serviços!#REF!</definedName>
    <definedName name="__DAR02">[4]Serviços!#REF!</definedName>
    <definedName name="__EDA01" localSheetId="6">[4]Serviços!#REF!</definedName>
    <definedName name="__EDA01">[4]Serviços!#REF!</definedName>
    <definedName name="__HCB5">[5]COMPMOTSER!$H$76</definedName>
    <definedName name="__la2" localSheetId="6">#REF!</definedName>
    <definedName name="__la2">#REF!</definedName>
    <definedName name="__MFC01" localSheetId="6">[4]Serviços!#REF!</definedName>
    <definedName name="__MFC01">[4]Serviços!#REF!</definedName>
    <definedName name="__PCB5">'[4]Serv. Adm.'!$H$297</definedName>
    <definedName name="__PCM30" localSheetId="6">#REF!</definedName>
    <definedName name="__PCM30">#REF!</definedName>
    <definedName name="__PLA2" localSheetId="6">#REF!</definedName>
    <definedName name="__PLA2">#REF!</definedName>
    <definedName name="__PM334">'[5]MAT PLACA'!$E$3</definedName>
    <definedName name="__PM335">'[5]MAT PLACA'!$E$4</definedName>
    <definedName name="__PM346">'[5]MAT PLACA'!$E$5</definedName>
    <definedName name="__PM406">'[5]MAT PLACA'!$E$6</definedName>
    <definedName name="__PM412">'[5]MAT PLACA'!$E$7</definedName>
    <definedName name="__PM609">'[5]MAT PLACA'!$E$8</definedName>
    <definedName name="__PM970">'[5]MAT PLACA'!$E$9</definedName>
    <definedName name="__PTB10" localSheetId="6">#REF!</definedName>
    <definedName name="__PTB10">#REF!</definedName>
    <definedName name="__TB10" localSheetId="6">#REF!</definedName>
    <definedName name="__TB10">#REF!</definedName>
    <definedName name="__TCB10">[4]Serviços!$G$58</definedName>
    <definedName name="__TCB4">[2]TLCB5!$I$31</definedName>
    <definedName name="__TCM30">'[3]Mat. Bet.'!$F$25</definedName>
    <definedName name="__TLB10" localSheetId="6">[4]Serviços!#REF!</definedName>
    <definedName name="__TLB10">[4]Serviços!#REF!</definedName>
    <definedName name="__TLB5">[4]Serviços!$G$54</definedName>
    <definedName name="__TLC4">[4]Serviços!$G$56</definedName>
    <definedName name="__TOT1" localSheetId="6">#REF!</definedName>
    <definedName name="__TOT1">#REF!</definedName>
    <definedName name="__TOT2" localSheetId="6">#REF!</definedName>
    <definedName name="__TOT2">#REF!</definedName>
    <definedName name="__TOT3" localSheetId="6">#REF!</definedName>
    <definedName name="__TOT3">#REF!</definedName>
    <definedName name="__TOT4" localSheetId="6">#REF!</definedName>
    <definedName name="__TOT4">#REF!</definedName>
    <definedName name="__TOT5" localSheetId="6">#REF!</definedName>
    <definedName name="__TOT5">#REF!</definedName>
    <definedName name="__TOT6" localSheetId="6">#REF!</definedName>
    <definedName name="__TOT6">#REF!</definedName>
    <definedName name="__TOT7" localSheetId="6">#REF!</definedName>
    <definedName name="__TOT7">#REF!</definedName>
    <definedName name="__TSD2" localSheetId="6">#REF!</definedName>
    <definedName name="__TSD2">#REF!</definedName>
    <definedName name="_3" localSheetId="6">#REF!</definedName>
    <definedName name="_3">#REF!</definedName>
    <definedName name="_AC" localSheetId="6">[6]BDI!$F$7</definedName>
    <definedName name="_AC">'[7]BDI - MATERIAIS'!$F$8</definedName>
    <definedName name="_BDI" localSheetId="6">#REF!</definedName>
    <definedName name="_BDI">[7]ORÇAMENTO!$I$6</definedName>
    <definedName name="_BDI_1" localSheetId="6">#REF!</definedName>
    <definedName name="_BDI_1">#REF!</definedName>
    <definedName name="_BDI_2" localSheetId="6">#REF!</definedName>
    <definedName name="_BDI_2">[8]ORÇAMENTO!$K$7</definedName>
    <definedName name="_BDI_3" localSheetId="6">[9]LIXO!$J$8</definedName>
    <definedName name="_BDI_3">[10]LIXO!$J$8</definedName>
    <definedName name="_BDI2">[11]ORÇAMENTO!$I$8</definedName>
    <definedName name="_CAP20" localSheetId="6">#REF!</definedName>
    <definedName name="_CAP20">#REF!</definedName>
    <definedName name="_DAR02" localSheetId="6">[4]Serviços!#REF!</definedName>
    <definedName name="_DAR02">[4]Serviços!#REF!</definedName>
    <definedName name="_DESC" localSheetId="6">#REF!</definedName>
    <definedName name="_DESC">'[12]MAPA DE COTAÇÃO'!$E$13</definedName>
    <definedName name="_DF" localSheetId="6">[6]BDI!$F$10</definedName>
    <definedName name="_DF">'[7]BDI - MATERIAIS'!$F$11</definedName>
    <definedName name="_E13" localSheetId="6">#REF!</definedName>
    <definedName name="_E13">#REF!</definedName>
    <definedName name="_EDA01" localSheetId="6">[4]Serviços!#REF!</definedName>
    <definedName name="_EDA01">[4]Serviços!#REF!</definedName>
    <definedName name="_HCB5">[5]COMPMOTSER!$H$76</definedName>
    <definedName name="_I" localSheetId="6">[6]BDI!$F$12</definedName>
    <definedName name="_I">'[7]BDI - MATERIAIS'!$F$13</definedName>
    <definedName name="_L" localSheetId="6">[6]BDI!$F$11</definedName>
    <definedName name="_L">'[7]BDI - MATERIAIS'!$F$12</definedName>
    <definedName name="_LOCAL" localSheetId="6">[13]LIXO!$C$7</definedName>
    <definedName name="_LOCAL">[14]LIXO!$C$7</definedName>
    <definedName name="_MED" localSheetId="6">'MAPA COTAÇÃO'!#REF!</definedName>
    <definedName name="_MED">#REF!</definedName>
    <definedName name="_MFC01" localSheetId="6">[4]Serviços!#REF!</definedName>
    <definedName name="_MFC01">[4]Serviços!#REF!</definedName>
    <definedName name="_OBRA" localSheetId="6">[13]LIXO!$C$6</definedName>
    <definedName name="_OBRA">[14]LIXO!$C$6</definedName>
    <definedName name="_PCB5">'[4]Serv. Adm.'!$H$297</definedName>
    <definedName name="_PM334">'[5]MAT PLACA'!$E$3</definedName>
    <definedName name="_PM335">'[5]MAT PLACA'!$E$4</definedName>
    <definedName name="_PM346">'[5]MAT PLACA'!$E$5</definedName>
    <definedName name="_PM406">'[5]MAT PLACA'!$E$6</definedName>
    <definedName name="_PM412">'[5]MAT PLACA'!$E$7</definedName>
    <definedName name="_PM609">'[5]MAT PLACA'!$E$8</definedName>
    <definedName name="_PM970">'[5]MAT PLACA'!$E$9</definedName>
    <definedName name="_R" localSheetId="6">[6]BDI!$F$9</definedName>
    <definedName name="_R">'[7]BDI - MATERIAIS'!$F$10</definedName>
    <definedName name="_S" localSheetId="6">[6]BDI!$F$8</definedName>
    <definedName name="_S">'[7]BDI - MATERIAIS'!$F$9</definedName>
    <definedName name="_TCB10">[4]Serviços!$G$58</definedName>
    <definedName name="_TLB10" localSheetId="6">[4]Serviços!#REF!</definedName>
    <definedName name="_TLB10">[4]Serviços!#REF!</definedName>
    <definedName name="_TLB5">[4]Serviços!$G$54</definedName>
    <definedName name="_TLC4">[4]Serviços!$G$56</definedName>
    <definedName name="_TOT1" localSheetId="6">#REF!</definedName>
    <definedName name="_TOT1">#REF!</definedName>
    <definedName name="_TOT2" localSheetId="6">#REF!</definedName>
    <definedName name="_TOT2">#REF!</definedName>
    <definedName name="_TOT3" localSheetId="6">#REF!</definedName>
    <definedName name="_TOT3">#REF!</definedName>
    <definedName name="_TOT4" localSheetId="6">#REF!</definedName>
    <definedName name="_TOT4">#REF!</definedName>
    <definedName name="_TOT5" localSheetId="6">#REF!</definedName>
    <definedName name="_TOT5">#REF!</definedName>
    <definedName name="_VAR" localSheetId="6">#REF!</definedName>
    <definedName name="_VAR">'[12]MAPA DE COTAÇÃO'!$G$13</definedName>
    <definedName name="a" localSheetId="6">#REF!</definedName>
    <definedName name="a">#REF!</definedName>
    <definedName name="AAA" localSheetId="6">[1]SID_NI_5!#REF!</definedName>
    <definedName name="AAA">[1]SID_NI_5!#REF!</definedName>
    <definedName name="AAAAAAAAAA" localSheetId="6">#REF!</definedName>
    <definedName name="AAAAAAAAAA">#REF!</definedName>
    <definedName name="AÇOCA25">[15]AUXILIARES!$H$57</definedName>
    <definedName name="AÇOCA50">[15]AUXILIARES!$H$137</definedName>
    <definedName name="AÇOCA60">[15]AUXILIARES!$H$217</definedName>
    <definedName name="ADAS" localSheetId="6">[1]SID_NI_5!#REF!</definedName>
    <definedName name="ADAS">[1]SID_NI_5!#REF!</definedName>
    <definedName name="adfhdfhsd" localSheetId="6">[1]SID_NI_5!#REF!</definedName>
    <definedName name="adfhdfhsd">[1]SID_NI_5!#REF!</definedName>
    <definedName name="ADS" localSheetId="6">[1]SID_NI_5!#REF!</definedName>
    <definedName name="ADS">[1]SID_NI_5!#REF!</definedName>
    <definedName name="AMATJAZ">[4]Serv.Aux.!$H$777</definedName>
    <definedName name="ANT" localSheetId="6">#REF!</definedName>
    <definedName name="ANT">#REF!</definedName>
    <definedName name="_xlnm.Print_Area" localSheetId="8">'BDI ENG. ELÉTRICA'!$B$1:$F$37</definedName>
    <definedName name="_xlnm.Print_Area" localSheetId="9">'BDI FORNECIMENTO MATERIAL'!$B$1:$F$39</definedName>
    <definedName name="_xlnm.Print_Area" localSheetId="6">'MAPA COTAÇÃO'!$A$1:$I$141</definedName>
    <definedName name="_xlnm.Print_Area" localSheetId="3">'MEMÓRIA DE CALCULO'!$A$1:$H$41</definedName>
    <definedName name="_xlnm.Print_Area" localSheetId="1">'PLANILHA ORÇAMENTÁRIA'!$A$1:$J$57</definedName>
    <definedName name="_xlnm.Print_Area" localSheetId="0">'QUADRO RESUMO'!$A$1:$C$32</definedName>
    <definedName name="AREACANTEIRO">[4]Instalação!$O$32</definedName>
    <definedName name="AREAMICRO0.8" localSheetId="6">#REF!</definedName>
    <definedName name="AREAMICRO0.8">#REF!</definedName>
    <definedName name="AREIAC">[15]AUXILIARES!$H$297</definedName>
    <definedName name="ARMADURA">[4]Serviços!$G$18</definedName>
    <definedName name="ARRUMADA">[4]Serviços!$G$22</definedName>
    <definedName name="AUTO" localSheetId="6">#REF!</definedName>
    <definedName name="AUTO">#REF!</definedName>
    <definedName name="AUTOMOVEL">[5]COMPAUTO!$H$38</definedName>
    <definedName name="AUXC18CLACBC">[15]AUXILIARES!$H$697</definedName>
    <definedName name="AUXC18GCACBC">[15]AUXILIARES!$H$1097</definedName>
    <definedName name="AUXC18TUBOACBC">[15]AUXILIARES!$H$777</definedName>
    <definedName name="AUXFABRICGCACBC">[15]AUXILIARES!$H$1017</definedName>
    <definedName name="AUXFPCCA50">[15]AUXILIARES!$H$937</definedName>
    <definedName name="AUXFPCCA60">[15]AUXILIARES!$H$857</definedName>
    <definedName name="AUXTUBO100ACBC" localSheetId="6">[15]AUXILIARES!#REF!</definedName>
    <definedName name="AUXTUBO100ACBC">[15]AUXILIARES!#REF!</definedName>
    <definedName name="AUXTUBO60ACBC">[15]AUXILIARES!$H$1177</definedName>
    <definedName name="AXSADADF" localSheetId="6">[16]ORÇAMENTO!#REF!</definedName>
    <definedName name="AXSADADF">[17]ORÇAMENTO!#REF!</definedName>
    <definedName name="AZXCA" localSheetId="6">[1]SID_NI_5!#REF!</definedName>
    <definedName name="AZXCA">[1]SID_NI_5!#REF!</definedName>
    <definedName name="_xlnm.Database" localSheetId="6">#REF!</definedName>
    <definedName name="_xlnm.Database">#REF!</definedName>
    <definedName name="BDI" localSheetId="6">#REF!</definedName>
    <definedName name="BDI">#REF!</definedName>
    <definedName name="BDI_">[18]ORÇAMENTO!$I$6</definedName>
    <definedName name="BDI_1" localSheetId="6">[19]ORÇAMENTO!$J$6</definedName>
    <definedName name="BDI_1">[20]ORÇAMENTO!$J$6</definedName>
    <definedName name="BDI_2" localSheetId="6">[21]ORÇAMENTO!$I$8</definedName>
    <definedName name="BDI_2">[20]ORÇAMENTO!$J$7</definedName>
    <definedName name="BDII" localSheetId="6">[6]ORÇAMENTO!#REF!</definedName>
    <definedName name="BDII">#REF!</definedName>
    <definedName name="Bianca" localSheetId="6">#REF!</definedName>
    <definedName name="Bianca">#REF!</definedName>
    <definedName name="BOLETIM" localSheetId="6">#REF!</definedName>
    <definedName name="BOLETIM">#REF!</definedName>
    <definedName name="BR">'[2]DADOS GERAIS'!$C$6</definedName>
    <definedName name="BRITAC">[15]AUXILIARES!$H$377</definedName>
    <definedName name="BRITAREM">[4]Serviços!$G$12</definedName>
    <definedName name="BU">[5]INVENTÁRIO!$E$46</definedName>
    <definedName name="CAI" localSheetId="6">#REF!</definedName>
    <definedName name="CAI">#REF!</definedName>
    <definedName name="CAIAÇÃO">[4]Serviços!$G$40</definedName>
    <definedName name="CAMINHAO">[4]Serviços!$G$63</definedName>
    <definedName name="CAPINA">[4]Serviços!$G$48</definedName>
    <definedName name="CAPINAMANUAL">'[15]CONSERVA ROTINEIRA'!$H$1817</definedName>
    <definedName name="CAPSD">'[15]MB VIAB.'!$E$3</definedName>
    <definedName name="CAPSUL">'[15]MB VIAB.'!$F$3</definedName>
    <definedName name="CARMADURA">'[15]SERVIÇOS AUX'!$H$297</definedName>
    <definedName name="CARRO">[4]Serviços!$G$59</definedName>
    <definedName name="cavalomec">[4]Veíc.!$H$137</definedName>
    <definedName name="CCARR" localSheetId="6">#REF!</definedName>
    <definedName name="CCARR">#REF!</definedName>
    <definedName name="CCARRO">[15]TRANSPORTE!$H$537</definedName>
    <definedName name="CCBASC5">[15]ADM!$H$297</definedName>
    <definedName name="CCICLÓPICO">[15]Serviços!$G$58</definedName>
    <definedName name="CCP" localSheetId="6">#REF!</definedName>
    <definedName name="CCP">#REF!</definedName>
    <definedName name="CD" localSheetId="6">#REF!</definedName>
    <definedName name="CD">#REF!</definedName>
    <definedName name="CDF" localSheetId="6">#REF!</definedName>
    <definedName name="CDF">#REF!</definedName>
    <definedName name="CDSS03BC">'[15]CONS. EMERG'!$H$217</definedName>
    <definedName name="CENCARREGADO">[15]ADM!$H$57</definedName>
    <definedName name="CFFF" localSheetId="6">#REF!</definedName>
    <definedName name="CFFF">#REF!</definedName>
    <definedName name="CFORMA">'[15]SERVIÇOS AUX'!$H$377</definedName>
    <definedName name="CICLÓPICO">'[15]SERVIÇOS AUX'!$H$137</definedName>
    <definedName name="CLAG">'[15]CONSERVA ROTINEIRA'!$H$1737</definedName>
    <definedName name="CMN" localSheetId="6">#REF!</definedName>
    <definedName name="CMN">#REF!</definedName>
    <definedName name="CMOTOSSERRA">[15]ADM!$H$217</definedName>
    <definedName name="CMSD">'[15]MB VIAB.'!$E$4</definedName>
    <definedName name="CMSUL">'[15]MB VIAB.'!$F$4</definedName>
    <definedName name="CMUDAS" localSheetId="6">'[15]SERVIÇOS AUX'!#REF!</definedName>
    <definedName name="CMUDAS">'[15]SERVIÇOS AUX'!#REF!</definedName>
    <definedName name="COMMM" localSheetId="6">#REF!</definedName>
    <definedName name="COMMM">#REF!</definedName>
    <definedName name="comp" localSheetId="6">#REF!</definedName>
    <definedName name="comp">#REF!</definedName>
    <definedName name="COMP01" localSheetId="6">#REF!</definedName>
    <definedName name="COMP01">#REF!</definedName>
    <definedName name="CONCR">[4]Serviços!$G$17</definedName>
    <definedName name="CONCRETO">'[15]SERVIÇOS AUX'!$H$217</definedName>
    <definedName name="CONCRETOCIMENTO">[15]Serviços!$G$59</definedName>
    <definedName name="CONTRATO">[22]APONT!$B$5:$G$426</definedName>
    <definedName name="CORDEFMB">'[15]CONSERVA ROTINEIRA'!$H$697</definedName>
    <definedName name="CPL">'[15]CONSERVA ROTINEIRA'!$H$217</definedName>
    <definedName name="CRECREVMBUQ">'[15]CONSERVA ROTINEIRA'!$H$297</definedName>
    <definedName name="CRETRO">[15]ADM!$H$377</definedName>
    <definedName name="_xlnm.Criteria" localSheetId="6">#REF!</definedName>
    <definedName name="_xlnm.Criteria">#REF!</definedName>
    <definedName name="Cronograma" localSheetId="6">[23]APONT!$B$5:$G$426</definedName>
    <definedName name="Cronograma">[24]APONT!$B$5:$G$426</definedName>
    <definedName name="cs" localSheetId="6">#REF!</definedName>
    <definedName name="cs">#REF!</definedName>
    <definedName name="CSA" localSheetId="6">#REF!</definedName>
    <definedName name="CSA">#REF!</definedName>
    <definedName name="CSERVENTE">[15]ADM!$H$137</definedName>
    <definedName name="CST" localSheetId="6">#REF!</definedName>
    <definedName name="CST">#REF!</definedName>
    <definedName name="CTCC4P">[15]TRANSPORTE!$H$377</definedName>
    <definedName name="CTCCB10P">[15]TRANSPORTE!$H$457</definedName>
    <definedName name="CTLB5P">[15]TRANSPORTE!$H$57</definedName>
    <definedName name="CTLC4P">[15]TRANSPORTE!$H$297</definedName>
    <definedName name="CTLCB10P">[15]TRANSPORTE!$H$217</definedName>
    <definedName name="CTLMR">[15]TRANSPORTE!$H$137</definedName>
    <definedName name="CUB">[4]Invent.!$E$33</definedName>
    <definedName name="D" localSheetId="6">[1]SID_NI_5!#REF!</definedName>
    <definedName name="D">[1]SID_NI_5!#REF!</definedName>
    <definedName name="DA">[5]INVENTÁRIO!$E$39</definedName>
    <definedName name="DATA">[4]Invent.!$E$31</definedName>
    <definedName name="DAYANE" localSheetId="6">#REF!</definedName>
    <definedName name="DAYANE">#REF!</definedName>
    <definedName name="DB">[4]Serviços!$G$37</definedName>
    <definedName name="DBU" localSheetId="6">#REF!</definedName>
    <definedName name="DBU">#REF!</definedName>
    <definedName name="DCA" localSheetId="6">#REF!</definedName>
    <definedName name="DCA">#REF!</definedName>
    <definedName name="DEPREC.">'[25]COMP - 06'!$H$9</definedName>
    <definedName name="des" localSheetId="6">#REF!</definedName>
    <definedName name="des">#REF!</definedName>
    <definedName name="DESC" localSheetId="6">[26]ORÇAMENTO!$K$10</definedName>
    <definedName name="DESC">[12]ORÇAMENTO!$J$9</definedName>
    <definedName name="DESCONTO">[27]ORÇAMENTO!$K$7</definedName>
    <definedName name="DESTOC15">[4]Serviços!$G$51</definedName>
    <definedName name="DESTOC15A30">'[15]CONSERVA ROTINEIRA'!$H$1897</definedName>
    <definedName name="DESTOC30">[4]Serviços!$G$52</definedName>
    <definedName name="DFFFF" localSheetId="6">[28]ORÇAMENTO!$I$7</definedName>
    <definedName name="DFFFF">[29]ORÇAMENTO!$I$7</definedName>
    <definedName name="dghdfhsdf" localSheetId="6">[1]SID_NI_5!#REF!</definedName>
    <definedName name="dghdfhsdf">[1]SID_NI_5!#REF!</definedName>
    <definedName name="dghzdfhsd" localSheetId="6" hidden="1">{#N/A,#N/A,FALSE,"Pla_Preço";#N/A,#N/A,FALSE,"Crono"}</definedName>
    <definedName name="dghzdfhsd" hidden="1">{#N/A,#N/A,FALSE,"Pla_Preço";#N/A,#N/A,FALSE,"Crono"}</definedName>
    <definedName name="DIA">'[2]DADOS GERAIS'!$C$15</definedName>
    <definedName name="DISTA">[4]Invent.!$G$21</definedName>
    <definedName name="DISTAMBUQ">[4]Invent.!$G$24</definedName>
    <definedName name="distcg">[15]Invent.!$G$33</definedName>
    <definedName name="DISTL">[4]Invent.!$G$23</definedName>
    <definedName name="DISTP">[4]Invent.!$G$22</definedName>
    <definedName name="DMT">[4]Invent.!$G$20</definedName>
    <definedName name="DMTMICRO0.8" localSheetId="6">#REF!</definedName>
    <definedName name="DMTMICRO0.8">#REF!</definedName>
    <definedName name="DMTMICRO1.5">'[15]MICRO 1.5'!$H$36</definedName>
    <definedName name="dsghnfxgvnjxf" localSheetId="6">#REF!</definedName>
    <definedName name="dsghnfxgvnjxf">#REF!</definedName>
    <definedName name="dsgjhxgn" localSheetId="6" hidden="1">{#N/A,#N/A,FALSE,"Pla_Preço";#N/A,#N/A,FALSE,"Crono"}</definedName>
    <definedName name="dsgjhxgn" hidden="1">{#N/A,#N/A,FALSE,"Pla_Preço";#N/A,#N/A,FALSE,"Crono"}</definedName>
    <definedName name="DSS03BC">[15]Serviços!$G$52</definedName>
    <definedName name="EA" localSheetId="6">#REF!</definedName>
    <definedName name="EA">#REF!</definedName>
    <definedName name="EJ" localSheetId="6">#REF!</definedName>
    <definedName name="EJ">#REF!</definedName>
    <definedName name="EMN" localSheetId="6">#REF!</definedName>
    <definedName name="EMN">#REF!</definedName>
    <definedName name="ENCARREGADO">[4]Serviços!$G$60</definedName>
    <definedName name="ENG">[15]Invent.!$B$13</definedName>
    <definedName name="ESC1CAT">[4]Serviços!$G$21</definedName>
    <definedName name="ESCAVJAZIDA">[15]AUXILIARES!$H$617</definedName>
    <definedName name="ESCAVMAT1CAT">'[15]SERVIÇOS AUX'!$H$537</definedName>
    <definedName name="ESCAVMECVAL1CAT">'[15]SERVIÇOS AUX'!$H$617</definedName>
    <definedName name="ESTA1">#REF!</definedName>
    <definedName name="Eu" localSheetId="6">#REF!</definedName>
    <definedName name="Eu">#REF!</definedName>
    <definedName name="EXPJAZIDA">[15]AUXILIARES!$H$537</definedName>
    <definedName name="EXT">'[2]DADOS GERAIS'!$C$10</definedName>
    <definedName name="EXTE">[5]INVENTÁRIO!$B$27</definedName>
    <definedName name="extenção" localSheetId="6">#REF!</definedName>
    <definedName name="extenção">#REF!</definedName>
    <definedName name="f" localSheetId="6">#REF!</definedName>
    <definedName name="f">#REF!</definedName>
    <definedName name="FE" localSheetId="6">#REF!</definedName>
    <definedName name="FE">#REF!</definedName>
    <definedName name="fhdfhsfd" localSheetId="6">[1]SID_NI_5!#REF!</definedName>
    <definedName name="fhdfhsfd">[1]SID_NI_5!#REF!</definedName>
    <definedName name="FORMA">[4]Serviços!$G$19</definedName>
    <definedName name="FRESA">[15]Serviços!$G$24</definedName>
    <definedName name="FRESADESC">'[15]CONSERVA ROTINEIRA'!$H$777</definedName>
    <definedName name="FRESAGEM">[4]Serviços!$G$31</definedName>
    <definedName name="FSSG" localSheetId="6">#REF!</definedName>
    <definedName name="FSSG">#REF!</definedName>
    <definedName name="GGFF" localSheetId="6">#REF!</definedName>
    <definedName name="GGFF">#REF!</definedName>
    <definedName name="ghgh" localSheetId="6">#REF!</definedName>
    <definedName name="ghgh">#REF!</definedName>
    <definedName name="GI">'[4]Serv. Adm.'!$H$457</definedName>
    <definedName name="GP" localSheetId="6">#REF!</definedName>
    <definedName name="GP">#REF!</definedName>
    <definedName name="GRAMADA">[4]Serviços!$G$47</definedName>
    <definedName name="GRAMAREPLANTIO" localSheetId="6">[15]AUXILIARES!#REF!</definedName>
    <definedName name="GRAMAREPLANTIO">[15]AUXILIARES!#REF!</definedName>
    <definedName name="HENC">[5]COMPSERVENC!$H$76</definedName>
    <definedName name="HH" localSheetId="6">#REF!</definedName>
    <definedName name="HH">#REF!</definedName>
    <definedName name="HJUM" localSheetId="6">#REF!</definedName>
    <definedName name="HJUM">#REF!</definedName>
    <definedName name="HMOTO">[5]COMPMOTSER!$H$38</definedName>
    <definedName name="HSERV">[5]COMPSERVENC!$H$38</definedName>
    <definedName name="IMP" localSheetId="6">#REF!</definedName>
    <definedName name="IMP">#REF!</definedName>
    <definedName name="IMPR" localSheetId="6">[4]Serviços!#REF!</definedName>
    <definedName name="IMPR">[4]Serviços!#REF!</definedName>
    <definedName name="IMPRESSAO" localSheetId="6">#REF!</definedName>
    <definedName name="IMPRESSAO">#REF!</definedName>
    <definedName name="IMPRIMA" localSheetId="6">'[15]CONSERVA ROTINEIRA'!#REF!</definedName>
    <definedName name="IMPRIMA">'[15]CONSERVA ROTINEIRA'!#REF!</definedName>
    <definedName name="IMPRIMAÇÃO" localSheetId="6">#REF!</definedName>
    <definedName name="IMPRIMAÇÃO">#REF!</definedName>
    <definedName name="INSTALAÇÃO">[4]Instalação!$T$34</definedName>
    <definedName name="jnxcfhnxc" localSheetId="6">#REF!</definedName>
    <definedName name="jnxcfhnxc">#REF!</definedName>
    <definedName name="JOGADA">[4]Serviços!$G$23</definedName>
    <definedName name="KGKG" localSheetId="6">#REF!</definedName>
    <definedName name="KGKG">#REF!</definedName>
    <definedName name="Kincc" localSheetId="6">#REF!</definedName>
    <definedName name="Kincc">#REF!</definedName>
    <definedName name="KKKK" localSheetId="6">#REF!</definedName>
    <definedName name="KKKK">#REF!</definedName>
    <definedName name="Koae" localSheetId="6">#REF!</definedName>
    <definedName name="Koae">#REF!</definedName>
    <definedName name="Kp" localSheetId="6">#REF!</definedName>
    <definedName name="Kp">#REF!</definedName>
    <definedName name="Kt" localSheetId="6">#REF!</definedName>
    <definedName name="Kt">#REF!</definedName>
    <definedName name="LB">[4]Serviços!$G$36</definedName>
    <definedName name="LBU" localSheetId="6">#REF!</definedName>
    <definedName name="LBU">#REF!</definedName>
    <definedName name="LDA" localSheetId="6">#REF!</definedName>
    <definedName name="LDA">#REF!</definedName>
    <definedName name="LEIVAS">[4]Serviços!$G$25</definedName>
    <definedName name="LIM_INF" localSheetId="6">'MAPA COTAÇÃO'!$I$20</definedName>
    <definedName name="LIM_INF" localSheetId="4">'MAPA DE COTAÇÃO'!$I$2</definedName>
    <definedName name="LIM_INF">#REF!</definedName>
    <definedName name="LIM_SUP" localSheetId="6">'MAPA COTAÇÃO'!$H$20</definedName>
    <definedName name="LIM_SUP" localSheetId="4">'MAPA DE COTAÇÃO'!$H$2</definedName>
    <definedName name="LIM_SUP">#REF!</definedName>
    <definedName name="LIMPJAZIDA">[15]AUXILIARES!$H$457</definedName>
    <definedName name="LIXO" localSheetId="6">[1]SID_NI_5!#REF!</definedName>
    <definedName name="LIXO">[1]SID_NI_5!#REF!</definedName>
    <definedName name="LOC" localSheetId="6">#REF!</definedName>
    <definedName name="LOC">#REF!</definedName>
    <definedName name="LOCAL" localSheetId="6">[2]TLCB5!#REF!</definedName>
    <definedName name="LOCAL">[2]TLCB5!#REF!</definedName>
    <definedName name="LP">[4]Serviços!$G$20</definedName>
    <definedName name="LPS">[4]Serviços!$G$38</definedName>
    <definedName name="LPTE" localSheetId="6">#REF!</definedName>
    <definedName name="LPTE">#REF!</definedName>
    <definedName name="LSMF" localSheetId="6">#REF!</definedName>
    <definedName name="LSMF">#REF!</definedName>
    <definedName name="LVC" localSheetId="6">#REF!</definedName>
    <definedName name="LVC">#REF!</definedName>
    <definedName name="LVD">'[15]CONSERVA ROTINEIRA'!$H$1017</definedName>
    <definedName name="MACAP50">[4]Comparativo!$G$26</definedName>
    <definedName name="MACM30">[4]Comparativo!$G$27</definedName>
    <definedName name="MAEMULFLEX">[4]Comparativo!$G$32</definedName>
    <definedName name="MARR1C">[4]Comparativo!$G$28</definedName>
    <definedName name="MARR1CP">[4]Comparativo!$G$29</definedName>
    <definedName name="MARR2CP">[30]Plan1!$G$35</definedName>
    <definedName name="MAT">[15]Invent.!$B$14</definedName>
    <definedName name="MBF" localSheetId="6">#REF!</definedName>
    <definedName name="MBF">#REF!</definedName>
    <definedName name="MBQ" localSheetId="6">#REF!</definedName>
    <definedName name="MBQ">#REF!</definedName>
    <definedName name="MBQA" localSheetId="6">#REF!</definedName>
    <definedName name="MBQA">#REF!</definedName>
    <definedName name="MBQT" localSheetId="6">#REF!</definedName>
    <definedName name="MBQT">#REF!</definedName>
    <definedName name="MBUQ">[4]Serviços!$G$16</definedName>
    <definedName name="MBUQACBC">'[15]SERVIÇOS AUX'!$H$57</definedName>
    <definedName name="MD" localSheetId="6">#REF!</definedName>
    <definedName name="MD">#REF!</definedName>
    <definedName name="MEMORIA" localSheetId="6">[1]SID_NI_5!#REF!</definedName>
    <definedName name="MEMORIA">[1]SID_NI_5!#REF!</definedName>
    <definedName name="MF">[5]INVENTÁRIO!$E$38</definedName>
    <definedName name="MICRO0.8" localSheetId="6">[15]Serviços!#REF!</definedName>
    <definedName name="MICRO0.8">[15]Serviços!#REF!</definedName>
    <definedName name="MICRO0.8BC" localSheetId="6">[15]PREVENTIVA!#REF!</definedName>
    <definedName name="MICRO0.8BC">[15]PREVENTIVA!#REF!</definedName>
    <definedName name="MICRO1.5">[4]Serviços!$G$53</definedName>
    <definedName name="MICRO1.5BC">[15]PREVENTIVA!$H$59</definedName>
    <definedName name="mmm" localSheetId="6">#REF!</definedName>
    <definedName name="mmm">#REF!</definedName>
    <definedName name="MOBILIZAÇÃO">[15]Mobiliz.!$I$53</definedName>
    <definedName name="MOTOSERRA">[4]Serviços!$G$64</definedName>
    <definedName name="MPACAP">'[15]MB VIAB.'!$E$44</definedName>
    <definedName name="MPACM">'[15]MB VIAB.'!$E$45</definedName>
    <definedName name="MPARL1CE">'[15]MB VIAB.'!$E$47</definedName>
    <definedName name="MPARR1C">'[15]MB VIAB.'!$E$46</definedName>
    <definedName name="MPTCAP">'[15]MB VIAB.'!$G$44</definedName>
    <definedName name="MPTCM">'[15]MB VIAB.'!$G$45</definedName>
    <definedName name="MPTRL1CE">'[15]MB VIAB.'!$G$47</definedName>
    <definedName name="MPTRR1C">'[15]MB VIAB.'!$G$46</definedName>
    <definedName name="MSICRO">[5]INVENTÁRIO!$B$1</definedName>
    <definedName name="MTCAP50">[4]Comparativo!$H$26</definedName>
    <definedName name="MTCM30">[4]Comparativo!$H$27</definedName>
    <definedName name="MTEMULFLEX">[4]Comparativo!$H$32</definedName>
    <definedName name="MTRR1C">[4]Comparativo!$H$28</definedName>
    <definedName name="MTRR1CP">[4]Comparativo!$H$29</definedName>
    <definedName name="MTRR2CP">[30]Plan1!$H$35</definedName>
    <definedName name="MUDAS">[4]Serviços!$G$24</definedName>
    <definedName name="novo" localSheetId="6">#REF!</definedName>
    <definedName name="novo">#REF!</definedName>
    <definedName name="o" localSheetId="6">[1]SID_NI_5!#REF!</definedName>
    <definedName name="o">[1]SID_NI_5!#REF!</definedName>
    <definedName name="ORC" localSheetId="6">#REF!</definedName>
    <definedName name="ORC">#REF!</definedName>
    <definedName name="ORIGEMCAP">'[15]MB VIAB.'!$C$44</definedName>
    <definedName name="ORIGEMCM30">'[15]MB VIAB.'!$C$45</definedName>
    <definedName name="ORIGEMRL1CE">'[15]MB VIAB.'!$C$47</definedName>
    <definedName name="ORIGEMRR1C">'[15]MB VIAB.'!$C$46</definedName>
    <definedName name="OUTR" localSheetId="6">#REF!</definedName>
    <definedName name="OUTR">#REF!</definedName>
    <definedName name="PACAP20MBUQ">'[4]Preço MBet.'!$I$10</definedName>
    <definedName name="PACAPMBUQ">'[15]Unit MB'!$H$11</definedName>
    <definedName name="PACM30RP">'[4]Preço MBet.'!$I$6</definedName>
    <definedName name="PACM30TB">'[5]AQ TR MB'!$I$5</definedName>
    <definedName name="PACMI">'[15]Unit MB'!$H$13</definedName>
    <definedName name="PACMRP" localSheetId="6">'[15]Unit MB'!#REF!</definedName>
    <definedName name="PACMRP">'[15]Unit MB'!#REF!</definedName>
    <definedName name="PAEMULCS">'[5]AQ TR MB'!$I$10</definedName>
    <definedName name="PAEMULFLEX">'[4]Preço MBet.'!$I$12</definedName>
    <definedName name="PAEMULTSD">'[5]AQ TR MB'!$I$12</definedName>
    <definedName name="PAEMULTSS">'[5]AQ TR MB'!$I$11</definedName>
    <definedName name="parl1c0.8" localSheetId="6">'[15]Unit MB'!#REF!</definedName>
    <definedName name="parl1c0.8">'[15]Unit MB'!#REF!</definedName>
    <definedName name="PARL1CE">'[15]Unit MB'!$H$15</definedName>
    <definedName name="PARL1CLAMAG">'[5]AQ TR MB'!$I$15</definedName>
    <definedName name="PARL1CMBF">'[5]AQ TR MB'!$I$13</definedName>
    <definedName name="PARMADURA">[4]Rotineira!$H$617</definedName>
    <definedName name="PARR1CCD">'[4]Preço MBet.'!$I$8</definedName>
    <definedName name="PARR1CP">'[30]Preço MBet.'!$I$11</definedName>
    <definedName name="PARR1CPL">'[4]Preço MBet.'!$I$7</definedName>
    <definedName name="PARR1CST">'[4]Preço MBet.'!$I$13</definedName>
    <definedName name="PARR1CTB">'[4]Preço MBet.'!$I$5</definedName>
    <definedName name="PARRUMADA">[4]Rotineira!$H$937</definedName>
    <definedName name="PAUTO" localSheetId="6">#REF!</definedName>
    <definedName name="PAUTO">#REF!</definedName>
    <definedName name="Payment_Needed">"Pagamento necessário"</definedName>
    <definedName name="PBRITAREM">[4]Rotineira!$H$137</definedName>
    <definedName name="PCAI" localSheetId="6">#REF!</definedName>
    <definedName name="PCAI">#REF!</definedName>
    <definedName name="PCAIAÇÃO">[4]Rotineira!$H$2297</definedName>
    <definedName name="PCAP20" localSheetId="6">#REF!</definedName>
    <definedName name="PCAP20">#REF!</definedName>
    <definedName name="PCAPINA">[4]Rotineira!$H$2777</definedName>
    <definedName name="PCARRO">[4]Veíc.!$H$57</definedName>
    <definedName name="PCCARR" localSheetId="6">#REF!</definedName>
    <definedName name="PCCARR">#REF!</definedName>
    <definedName name="PCCIM">[4]Rotineira!$H$537</definedName>
    <definedName name="PCCP" localSheetId="6">#REF!</definedName>
    <definedName name="PCCP">#REF!</definedName>
    <definedName name="PCD" localSheetId="6">#REF!</definedName>
    <definedName name="PCD">#REF!</definedName>
    <definedName name="PCDF" localSheetId="6">#REF!</definedName>
    <definedName name="PCDF">#REF!</definedName>
    <definedName name="PCLAG">[4]Rotineira!$H$2697</definedName>
    <definedName name="PCMN" localSheetId="6">#REF!</definedName>
    <definedName name="PCMN">#REF!</definedName>
    <definedName name="PCS" localSheetId="6">#REF!</definedName>
    <definedName name="PCS">#REF!</definedName>
    <definedName name="PCSA" localSheetId="6">#REF!</definedName>
    <definedName name="PCSA">#REF!</definedName>
    <definedName name="PCST" localSheetId="6">#REF!</definedName>
    <definedName name="PCST">#REF!</definedName>
    <definedName name="PDAR02">'[30]Const. Dren.'!$H$137</definedName>
    <definedName name="PDB">[4]Rotineira!$H$1977</definedName>
    <definedName name="PDBU" localSheetId="6">#REF!</definedName>
    <definedName name="PDBU">#REF!</definedName>
    <definedName name="PDCA" localSheetId="6">#REF!</definedName>
    <definedName name="PDCA">#REF!</definedName>
    <definedName name="PDESTOC15">[4]Rotineira!$H$3741</definedName>
    <definedName name="PDESTOC30">[4]Rotineira!$H$3821</definedName>
    <definedName name="PEA" localSheetId="6">#REF!</definedName>
    <definedName name="PEA">#REF!</definedName>
    <definedName name="PEAD1200" localSheetId="6">[1]SID_NI_5!#REF!</definedName>
    <definedName name="PEAD1200">[1]SID_NI_5!#REF!</definedName>
    <definedName name="PEDA01">'[30]Const. Dren.'!$H$217</definedName>
    <definedName name="PEDRAARRUMADA">[15]Serviços!$G$46</definedName>
    <definedName name="PEDRAJOGADA">[15]Serviços!$G$47</definedName>
    <definedName name="PEJ" localSheetId="6">#REF!</definedName>
    <definedName name="PEJ">#REF!</definedName>
    <definedName name="PEMM1CAT">[4]Rotineira!$H$857</definedName>
    <definedName name="PEMN" localSheetId="6">#REF!</definedName>
    <definedName name="PEMN">#REF!</definedName>
    <definedName name="PEN" localSheetId="6">#REF!</definedName>
    <definedName name="PEN">#REF!</definedName>
    <definedName name="PET">'[4]Serv. Adm.'!$H$137</definedName>
    <definedName name="PFORMA">[4]Rotineira!$H$697</definedName>
    <definedName name="PFRESAGEM">[4]Rotineira!$H$3497</definedName>
    <definedName name="PGP" localSheetId="6">#REF!</definedName>
    <definedName name="PGP">#REF!</definedName>
    <definedName name="PINTFAIXA">[4]Serviços!$G$50</definedName>
    <definedName name="PJOGADA">[4]Rotineira!$H$1017</definedName>
    <definedName name="PL" localSheetId="6">#REF!</definedName>
    <definedName name="PL">#REF!</definedName>
    <definedName name="PLA" localSheetId="6">#REF!</definedName>
    <definedName name="PLA">#REF!</definedName>
    <definedName name="PLACA">[5]INVENTÁRIO!$F$60</definedName>
    <definedName name="PLB">[4]Rotineira!$H$1897</definedName>
    <definedName name="PLBU" localSheetId="6">#REF!</definedName>
    <definedName name="PLBU">#REF!</definedName>
    <definedName name="PLDA" localSheetId="6">#REF!</definedName>
    <definedName name="PLDA">#REF!</definedName>
    <definedName name="PLDA1">#REF!</definedName>
    <definedName name="PLEIVAS">[4]Rotineira!$H$1177</definedName>
    <definedName name="PLP">[4]Rotineira!$H$777</definedName>
    <definedName name="PLPS">[4]Rotineira!$H$2137</definedName>
    <definedName name="PLPTE" localSheetId="6">#REF!</definedName>
    <definedName name="PLPTE">#REF!</definedName>
    <definedName name="PLSM" localSheetId="6">#REF!</definedName>
    <definedName name="PLSM">#REF!</definedName>
    <definedName name="PLSMF">[4]Rotineira!$H$1577</definedName>
    <definedName name="PLT" localSheetId="6">#REF!</definedName>
    <definedName name="PLT">#REF!</definedName>
    <definedName name="PLVC" localSheetId="6">#REF!</definedName>
    <definedName name="PLVC">#REF!</definedName>
    <definedName name="PMBQ" localSheetId="6">#REF!</definedName>
    <definedName name="PMBQ">#REF!</definedName>
    <definedName name="PMBQA" localSheetId="6">#REF!</definedName>
    <definedName name="PMBQA">#REF!</definedName>
    <definedName name="PMBQT" localSheetId="6">#REF!</definedName>
    <definedName name="PMBQT">#REF!</definedName>
    <definedName name="PMBUQ">[4]Rotineira!$H$457</definedName>
    <definedName name="PMD" localSheetId="6">#REF!</definedName>
    <definedName name="PMD">#REF!</definedName>
    <definedName name="PMFC01">'[30]Const. Dren.'!$H$57</definedName>
    <definedName name="PMICRO1.5">[4]Rotineira!$H$3661</definedName>
    <definedName name="PMOB">[4]Mobiliz.!$I$49</definedName>
    <definedName name="PMRP2ANOS">[4]Rotineira!$H$3257</definedName>
    <definedName name="PMS">'[4]Serv. Adm.'!$H$217</definedName>
    <definedName name="PMUDAS">[4]Rotineira!$H$1097</definedName>
    <definedName name="PONTE">[5]INVENTÁRIO!$D$51</definedName>
    <definedName name="PPEN" localSheetId="6">#REF!</definedName>
    <definedName name="PPEN">#REF!</definedName>
    <definedName name="PPL" localSheetId="6">#REF!</definedName>
    <definedName name="PPL">#REF!</definedName>
    <definedName name="PPLA" localSheetId="6">#REF!</definedName>
    <definedName name="PPLA">#REF!</definedName>
    <definedName name="PPLT" localSheetId="6">#REF!</definedName>
    <definedName name="PPLT">#REF!</definedName>
    <definedName name="praca" localSheetId="6">#REF!</definedName>
    <definedName name="praca">#REF!</definedName>
    <definedName name="praça" localSheetId="6">#REF!</definedName>
    <definedName name="praça">#REF!</definedName>
    <definedName name="PRBQ" localSheetId="6">#REF!</definedName>
    <definedName name="PRBQ">#REF!</definedName>
    <definedName name="PRCC" localSheetId="6">#REF!</definedName>
    <definedName name="PRCC">#REF!</definedName>
    <definedName name="PRCCL" localSheetId="6">#REF!</definedName>
    <definedName name="PRCCL">#REF!</definedName>
    <definedName name="PRDM" localSheetId="6">#REF!</definedName>
    <definedName name="PRDM">#REF!</definedName>
    <definedName name="PRECP" localSheetId="6">#REF!</definedName>
    <definedName name="PRECP">#REF!</definedName>
    <definedName name="PREMN" localSheetId="6">#REF!</definedName>
    <definedName name="PREMN">#REF!</definedName>
    <definedName name="PREMOÇÃOPS">[4]Rotineira!$H$2857</definedName>
    <definedName name="PRETRO">'[4]Serv. Adm.'!$H$377</definedName>
    <definedName name="PRGC">[4]Rotineira!$H$1497</definedName>
    <definedName name="Print_01" localSheetId="6">#REF!</definedName>
    <definedName name="Print_01">#REF!</definedName>
    <definedName name="Print_Area" localSheetId="8">'BDI ENG. ELÉTRICA'!$A$1:$F$37</definedName>
    <definedName name="Print_Area" localSheetId="9">'BDI FORNECIMENTO MATERIAL'!$B$1:$F$39</definedName>
    <definedName name="Print_Area" localSheetId="5">CRONOGRAMA!$A$1:$F$23</definedName>
    <definedName name="Print_Area" localSheetId="3">'MEMÓRIA DE CALCULO'!$A$1:$H$41</definedName>
    <definedName name="Print_Area" localSheetId="1">'PLANILHA ORÇAMENTÁRIA'!$A$1:$J$55</definedName>
    <definedName name="Print_Area_MI" localSheetId="6">#REF!</definedName>
    <definedName name="Print_Area_MI">#REF!</definedName>
    <definedName name="PRM">[4]Rotineira!$H$2457</definedName>
    <definedName name="PRM1C" localSheetId="6">#REF!</definedName>
    <definedName name="PRM1C">#REF!</definedName>
    <definedName name="PRMAT">[4]Rotineira!$H$3337</definedName>
    <definedName name="PRMEC">[4]Rotineira!$H$2617</definedName>
    <definedName name="PRMECAT">[4]Rotineira!$H$3417</definedName>
    <definedName name="PRMFD">[4]Rotineira!$H$217</definedName>
    <definedName name="PRMN" localSheetId="6">#REF!</definedName>
    <definedName name="PRMN">#REF!</definedName>
    <definedName name="PRMSH">[4]Rotineira!$H$2377</definedName>
    <definedName name="PROMZ" localSheetId="6">#REF!</definedName>
    <definedName name="PROMZ">#REF!</definedName>
    <definedName name="PRP" localSheetId="6">#REF!</definedName>
    <definedName name="PRP">#REF!</definedName>
    <definedName name="PRPA" localSheetId="6">#REF!</definedName>
    <definedName name="PRPA">#REF!</definedName>
    <definedName name="PRPDMAN">[4]Rotineira!$H$1257</definedName>
    <definedName name="PRPDMEC">[4]Rotineira!$H$1337</definedName>
    <definedName name="PRPL" localSheetId="6">#REF!</definedName>
    <definedName name="PRPL">#REF!</definedName>
    <definedName name="PRPS">[4]Rotineira!$H$2217</definedName>
    <definedName name="PRPT" localSheetId="6">#REF!</definedName>
    <definedName name="PRPT">#REF!</definedName>
    <definedName name="PRR1C" localSheetId="6">#REF!</definedName>
    <definedName name="PRR1C">#REF!</definedName>
    <definedName name="PRRMBUQ">[4]Rotineira!$H$377</definedName>
    <definedName name="PRRP" localSheetId="6">#REF!</definedName>
    <definedName name="PRRP">#REF!</definedName>
    <definedName name="PRZ" localSheetId="6">#REF!</definedName>
    <definedName name="PRZ">#REF!</definedName>
    <definedName name="PS">'[4]Serv. Adm.'!$H$57</definedName>
    <definedName name="PSCB" localSheetId="6">#REF!</definedName>
    <definedName name="PSCB">#REF!</definedName>
    <definedName name="PSELAGEM">[4]Rotineira!$H$2057</definedName>
    <definedName name="PSINAL" localSheetId="6">#REF!</definedName>
    <definedName name="PSINAL">#REF!</definedName>
    <definedName name="PSMC">[4]Rotineira!$H$3017</definedName>
    <definedName name="PTA2A">[15]SINALIZ!$H$57</definedName>
    <definedName name="PTB" localSheetId="6">#REF!</definedName>
    <definedName name="PTB">#REF!</definedName>
    <definedName name="PTBA" localSheetId="6">#REF!</definedName>
    <definedName name="PTBA">#REF!</definedName>
    <definedName name="PTBT" localSheetId="6">#REF!</definedName>
    <definedName name="PTBT">#REF!</definedName>
    <definedName name="PTCAP20" localSheetId="6">#REF!</definedName>
    <definedName name="PTCAP20">#REF!</definedName>
    <definedName name="PTCAP20MBUQ">'[4]Preço MBet.'!$K$10</definedName>
    <definedName name="PTCAPMBUQ">'[15]Unit MB'!$J$11</definedName>
    <definedName name="PTCB4" localSheetId="6">#REF!</definedName>
    <definedName name="PTCB4">#REF!</definedName>
    <definedName name="PTCC">'[4]Cpu Trans.'!$H$537</definedName>
    <definedName name="PTCC4" localSheetId="6">#REF!</definedName>
    <definedName name="PTCC4">#REF!</definedName>
    <definedName name="PTCCB10">'[4]Cpu Trans.'!$H$297</definedName>
    <definedName name="PTCM30" localSheetId="6">#REF!</definedName>
    <definedName name="PTCM30">#REF!</definedName>
    <definedName name="PTCM30RP">'[4]Preço MBet.'!$K$6</definedName>
    <definedName name="PTCM30TB">'[5]AQ TR MB'!$K$5</definedName>
    <definedName name="PTCMI">'[15]Unit MB'!$J$13</definedName>
    <definedName name="PTCMRP" localSheetId="6">'[15]Unit MB'!#REF!</definedName>
    <definedName name="PTCMRP">'[15]Unit MB'!#REF!</definedName>
    <definedName name="PTEB4" localSheetId="6">#REF!</definedName>
    <definedName name="PTEB4">#REF!</definedName>
    <definedName name="PTEMULCS">'[5]AQ TR MB'!$K$10</definedName>
    <definedName name="PTEMULFLEX">'[4]Preço MBet.'!$K$12</definedName>
    <definedName name="PTEMULTSD">'[5]AQ TR MB'!$K$12</definedName>
    <definedName name="PTEMULTSS">'[5]AQ TR MB'!$K$11</definedName>
    <definedName name="PTLB10">'[30]Cpu Trans.'!$H$457</definedName>
    <definedName name="PTLCB5">'[4]Cpu Trans.'!$H$57</definedName>
    <definedName name="PTLCC4">'[4]Cpu Trans.'!$H$217</definedName>
    <definedName name="PTLMB" localSheetId="6">#REF!</definedName>
    <definedName name="PTLMB">#REF!</definedName>
    <definedName name="PTLMR">'[4]Cpu Trans.'!$H$137</definedName>
    <definedName name="PTRL1C0.8" localSheetId="6">'[15]Unit MB'!#REF!</definedName>
    <definedName name="PTRL1C0.8">'[15]Unit MB'!#REF!</definedName>
    <definedName name="PTRL1CE">'[15]Unit MB'!$J$15</definedName>
    <definedName name="PTRL1CLAMAG">'[5]AQ TR MB'!$K$15</definedName>
    <definedName name="PTRL1CMBF">'[5]AQ TR MB'!$K$13</definedName>
    <definedName name="PTRM1C" localSheetId="6">#REF!</definedName>
    <definedName name="PTRM1C">#REF!</definedName>
    <definedName name="PTRR1C" localSheetId="6">#REF!</definedName>
    <definedName name="PTRR1C">#REF!</definedName>
    <definedName name="PTRR1CCD">'[4]Preço MBet.'!$K$8</definedName>
    <definedName name="PTRR1CP">'[30]Preço MBet.'!$K$11</definedName>
    <definedName name="PTRR1CPL">'[4]Preço MBet.'!$K$7</definedName>
    <definedName name="PTRR1CST">'[4]Preço MBet.'!$K$13</definedName>
    <definedName name="PTRR1CTB">'[4]Preço MBet.'!$K$5</definedName>
    <definedName name="PTSD2" localSheetId="6">#REF!</definedName>
    <definedName name="PTSD2">#REF!</definedName>
    <definedName name="PTSSP">[30]Rotineira!$H$3579</definedName>
    <definedName name="q" localSheetId="6">[1]SID_NI_5!#REF!</definedName>
    <definedName name="q">[1]SID_NI_5!#REF!</definedName>
    <definedName name="qadfhnbxfc" localSheetId="6">#REF!</definedName>
    <definedName name="qadfhnbxfc">#REF!</definedName>
    <definedName name="QUANT_MES">[31]ORÇAMENTO!$B$8</definedName>
    <definedName name="R___Ton_x_Km">[15]Mobiliz.!$H$36</definedName>
    <definedName name="RA" localSheetId="6">[4]Serviços!#REF!</definedName>
    <definedName name="RA">[4]Serviços!#REF!</definedName>
    <definedName name="RBQ" localSheetId="6">#REF!</definedName>
    <definedName name="RBQ">#REF!</definedName>
    <definedName name="RCC" localSheetId="6">#REF!</definedName>
    <definedName name="RCC">#REF!</definedName>
    <definedName name="RCCL" localSheetId="6">#REF!</definedName>
    <definedName name="RCCL">#REF!</definedName>
    <definedName name="RCOLONIAO">[4]Serviços!$G$45</definedName>
    <definedName name="RDM" localSheetId="6">#REF!</definedName>
    <definedName name="RDM">#REF!</definedName>
    <definedName name="REATERROBUEIRO">'[15]SERVIÇOS AUX'!$H$457</definedName>
    <definedName name="RECDEF" localSheetId="6">'[15]CONSERVA ROTINEIRA'!#REF!</definedName>
    <definedName name="RECDEF">'[15]CONSERVA ROTINEIRA'!#REF!</definedName>
    <definedName name="RECGC">[4]Serviços!$G$32</definedName>
    <definedName name="RECGCACBC" localSheetId="6">'[15]CONSERVA ROTINEIRA'!#REF!</definedName>
    <definedName name="RECGCACBC">'[15]CONSERVA ROTINEIRA'!#REF!</definedName>
    <definedName name="RECMANAT">'[15]CONS. EMERG'!$H$57</definedName>
    <definedName name="RECMECAT">'[15]CONS. EMERG'!$H$137</definedName>
    <definedName name="RECOMPCERCA">'[15]CONSERVA ROTINEIRA'!$H$1417</definedName>
    <definedName name="RECP" localSheetId="6">#REF!</definedName>
    <definedName name="RECP">#REF!</definedName>
    <definedName name="RECPLACA" localSheetId="6">'[15]CONSERVA ROTINEIRA'!#REF!</definedName>
    <definedName name="RECPLACA">'[15]CONSERVA ROTINEIRA'!#REF!</definedName>
    <definedName name="RECPS">[4]Serviços!$G$39</definedName>
    <definedName name="RECREV">[4]Serviços!$G$15</definedName>
    <definedName name="REF">[4]Invent.!$E$30</definedName>
    <definedName name="REGFAIXA">[4]Serviços!$G$11</definedName>
    <definedName name="Reimbursement">"Reembolso"</definedName>
    <definedName name="REMN" localSheetId="6">#REF!</definedName>
    <definedName name="REMN">#REF!</definedName>
    <definedName name="REMOPS">[4]Serviços!$G$49</definedName>
    <definedName name="RES" localSheetId="6">#REF!</definedName>
    <definedName name="RES">#REF!</definedName>
    <definedName name="RETRO">[4]Serviços!$G$62</definedName>
    <definedName name="RFV" localSheetId="6">#REF!</definedName>
    <definedName name="RFV">#REF!</definedName>
    <definedName name="RHHH" localSheetId="6">#REF!</definedName>
    <definedName name="RHHH">#REF!</definedName>
    <definedName name="RL1CESD">'[15]MB VIAB.'!$E$6</definedName>
    <definedName name="RL1CESUL">'[15]MB VIAB.'!$F$6</definedName>
    <definedName name="RM1C" localSheetId="6">#REF!</definedName>
    <definedName name="RM1C">#REF!</definedName>
    <definedName name="RMAN">[4]Serviços!$G$44</definedName>
    <definedName name="RMANAT">[4]Serviços!$G$42</definedName>
    <definedName name="RMEC">[4]Serviços!$G$46</definedName>
    <definedName name="RMECAT">[4]Serviços!$G$43</definedName>
    <definedName name="RMN" localSheetId="6">#REF!</definedName>
    <definedName name="RMN">#REF!</definedName>
    <definedName name="RMSH">[4]Serviços!$G$41</definedName>
    <definedName name="ROÇADACOLONIÃO">'[15]CONSERVA ROTINEIRA'!$H$1577</definedName>
    <definedName name="ROÇADAMANUAL">'[15]CONSERVA ROTINEIRA'!$H$1497</definedName>
    <definedName name="ROÇADAMECANIZADA">'[15]CONSERVA ROTINEIRA'!$H$1657</definedName>
    <definedName name="ROD">[32]TRECHO!$E$3</definedName>
    <definedName name="ROMZ" localSheetId="6">#REF!</definedName>
    <definedName name="ROMZ">#REF!</definedName>
    <definedName name="RP" localSheetId="6">#REF!</definedName>
    <definedName name="RP">#REF!</definedName>
    <definedName name="RPA" localSheetId="6">#REF!</definedName>
    <definedName name="RPA">#REF!</definedName>
    <definedName name="RPDMAN">[4]Serviços!$G$27</definedName>
    <definedName name="RPDMEC">[4]Serviços!$G$28</definedName>
    <definedName name="RPL" localSheetId="6">#REF!</definedName>
    <definedName name="RPL">#REF!</definedName>
    <definedName name="RPM">[33]SERVIÇOS!$G$12</definedName>
    <definedName name="RPMAN">'[15]CONSERVA ROTINEIRA'!$H$377</definedName>
    <definedName name="RPMECSERRA">'[15]CONSERVA ROTINEIRA'!$H$457</definedName>
    <definedName name="RPT" localSheetId="6">#REF!</definedName>
    <definedName name="RPT">#REF!</definedName>
    <definedName name="RPZ" localSheetId="6">#REF!</definedName>
    <definedName name="RPZ">#REF!</definedName>
    <definedName name="RR1C" localSheetId="6">#REF!</definedName>
    <definedName name="RR1C">#REF!</definedName>
    <definedName name="RR1CSD">'[15]MB VIAB.'!$E$5</definedName>
    <definedName name="RR1CSUL">'[15]MB VIAB.'!$F$5</definedName>
    <definedName name="RRHHH" localSheetId="6">#REF!</definedName>
    <definedName name="RRHHH">#REF!</definedName>
    <definedName name="RRP" localSheetId="6">#REF!</definedName>
    <definedName name="RRP">#REF!</definedName>
    <definedName name="RRQ" localSheetId="6">#REF!</definedName>
    <definedName name="RRQ">#REF!</definedName>
    <definedName name="RSH" localSheetId="6">[4]Serviços!#REF!</definedName>
    <definedName name="RSH">[4]Serviços!#REF!</definedName>
    <definedName name="RZ" localSheetId="6">#REF!</definedName>
    <definedName name="RZ">#REF!</definedName>
    <definedName name="SB" localSheetId="6">#REF!</definedName>
    <definedName name="SB">#REF!</definedName>
    <definedName name="SCB" localSheetId="6">#REF!</definedName>
    <definedName name="SCB">#REF!</definedName>
    <definedName name="SEG">'[2]DADOS GERAIS'!$C$9</definedName>
    <definedName name="SEGMENTO">[15]Invent.!$B$11</definedName>
    <definedName name="SELAGEMAC">'[15]CONSERVA ROTINEIRA'!$H$617</definedName>
    <definedName name="SERVENTE">[4]Serviços!$G$61</definedName>
    <definedName name="SINAL" localSheetId="6">#REF!</definedName>
    <definedName name="SINAL">#REF!</definedName>
    <definedName name="SJ">[5]INVENTÁRIO!$E$40</definedName>
    <definedName name="SMC">[33]SERVIÇOS!$G$59</definedName>
    <definedName name="SOLOCIM">[4]Serviços!$G$13</definedName>
    <definedName name="SOLOCIMRP">'[15]CONSERVA ROTINEIRA'!$H$137</definedName>
    <definedName name="SOLORP" localSheetId="6">[4]Serviços!#REF!</definedName>
    <definedName name="SOLORP">[4]Serviços!#REF!</definedName>
    <definedName name="SOMA1" localSheetId="6">'[2]ORÇAMENTO 01'!#REF!</definedName>
    <definedName name="SOMA1">'[2]ORÇAMENTO 01'!#REF!</definedName>
    <definedName name="SOMA2">'[2]ORÇAMENTO 01'!$F$37</definedName>
    <definedName name="SOMA3">'[2]ORÇAMENTO 01'!$F$42</definedName>
    <definedName name="SOMA4">'[2]ORÇAMENTO 01'!$F$47</definedName>
    <definedName name="ST" localSheetId="6">#REF!</definedName>
    <definedName name="ST">#REF!</definedName>
    <definedName name="STR" localSheetId="6">#REF!</definedName>
    <definedName name="STR">#REF!</definedName>
    <definedName name="SUBT">'[2]DADOS GERAIS'!$C$8</definedName>
    <definedName name="SUBTRECHO">[15]Invent.!$B$10</definedName>
    <definedName name="TAPABURACO">[15]Serviços!$G$21</definedName>
    <definedName name="TB" localSheetId="6">#REF!</definedName>
    <definedName name="TB">#REF!</definedName>
    <definedName name="TBA" localSheetId="6">#REF!</definedName>
    <definedName name="TBA">#REF!</definedName>
    <definedName name="TBSERRA">'[15]CONSERVA ROTINEIRA'!$H$537</definedName>
    <definedName name="TBT" localSheetId="6">#REF!</definedName>
    <definedName name="TBT">#REF!</definedName>
    <definedName name="TCAP50">'[3]Mat. Bet.'!$E$22</definedName>
    <definedName name="TCAP50SJ">'[3]Mat. Bet.'!$E$24</definedName>
    <definedName name="TCAP50SJC">'[34]Mat. Bet.'!$E$23</definedName>
    <definedName name="TCAPFLEX" localSheetId="6">'[4]Mat. Bet.'!#REF!</definedName>
    <definedName name="TCAPFLEX">'[4]Mat. Bet.'!#REF!</definedName>
    <definedName name="tcc">[35]TCC4!$I$25</definedName>
    <definedName name="TCCB10">[4]TCCB10!$I$27</definedName>
    <definedName name="TCCC">[4]TCCC!$I$31</definedName>
    <definedName name="TCM30SJ">'[3]Mat. Bet.'!$F$27</definedName>
    <definedName name="TCM30SJC">'[34]Mat. Bet.'!$F$26</definedName>
    <definedName name="TEMULFLEX">'[3]Mat. Bet.'!$F$39</definedName>
    <definedName name="TEMULFLEXCG">'[3]Mat. Bet.'!$F$40</definedName>
    <definedName name="TLB" localSheetId="6">[4]Serviços!#REF!</definedName>
    <definedName name="TLB">[4]Serviços!#REF!</definedName>
    <definedName name="TLCB10">[15]TLCB10!$I$22</definedName>
    <definedName name="TLCB5">[4]TLCB5!$I$24</definedName>
    <definedName name="TLCC4">[4]TLCC4!$I$27</definedName>
    <definedName name="TLMB" localSheetId="6">#REF!</definedName>
    <definedName name="TLMB">#REF!</definedName>
    <definedName name="TLMR">[4]TLMR!$I$22</definedName>
    <definedName name="TR" localSheetId="6">#REF!</definedName>
    <definedName name="TR">#REF!</definedName>
    <definedName name="TRANSREM">[4]Serviços!$G$55</definedName>
    <definedName name="TREC">'[2]DADOS GERAIS'!$C$7</definedName>
    <definedName name="TRECHO">[32]TRECHO!$E$5</definedName>
    <definedName name="TRL1C">'[3]Mat. Bet.'!$F$42</definedName>
    <definedName name="TRL1CCG">'[3]Mat. Bet.'!$F$43</definedName>
    <definedName name="TRL1CFLEX" localSheetId="6">'[4]Mat. Bet.'!#REF!</definedName>
    <definedName name="TRL1CFLEX">'[4]Mat. Bet.'!#REF!</definedName>
    <definedName name="TRM1C">'[3]Mat. Bet.'!$F$36</definedName>
    <definedName name="TRM1CCG">'[3]Mat. Bet.'!$F$37</definedName>
    <definedName name="TRM1CRP">'[34]Mat. Bet.'!$F$37</definedName>
    <definedName name="TRR1C">'[3]Mat. Bet.'!$F$28</definedName>
    <definedName name="TRR1CCG">'[3]Mat. Bet.'!$F$29</definedName>
    <definedName name="TRR1CP">'[3]Mat. Bet.'!$F$30</definedName>
    <definedName name="TRR1CPCG">'[3]Mat. Bet.'!$F$31</definedName>
    <definedName name="TRR2C">'[3]Mat. Bet.'!$F$33</definedName>
    <definedName name="TRR2CCG">'[3]Mat. Bet.'!$F$34</definedName>
    <definedName name="TRR2CFLEX" localSheetId="6">'[4]Mat. Bet.'!#REF!</definedName>
    <definedName name="TRR2CFLEX">'[4]Mat. Bet.'!#REF!</definedName>
    <definedName name="TRRACPOLCG">'[34]Mat. Bet.'!$F$30</definedName>
    <definedName name="TSD" localSheetId="6">#REF!</definedName>
    <definedName name="TSD">#REF!</definedName>
    <definedName name="TSSP" localSheetId="6">[4]Serviços!#REF!</definedName>
    <definedName name="TSSP">[4]Serviços!#REF!</definedName>
    <definedName name="TUBO60ACBC">'[15]OBRAS MELHORAM'!$H$217</definedName>
    <definedName name="UL">[5]INVENTÁRIO!$B$9</definedName>
    <definedName name="UN" localSheetId="6">#REF!</definedName>
    <definedName name="UN">#REF!</definedName>
    <definedName name="VCANT">'[5]MOBIL-CANT'!$I$73</definedName>
    <definedName name="VIDE">[4]Invent.!$A$43</definedName>
    <definedName name="VMOB">'[5]MOBIL-CANT'!$I$45</definedName>
    <definedName name="VR">[5]INVENTÁRIO!$E$41</definedName>
    <definedName name="VSR">[5]INVENTÁRIO!$E$42</definedName>
    <definedName name="VVV" localSheetId="6">#REF!</definedName>
    <definedName name="VVV">#REF!</definedName>
    <definedName name="wdgadfgdsz" localSheetId="6">[1]SID_NI_5!#REF!</definedName>
    <definedName name="wdgadfgdsz">[1]SID_NI_5!#REF!</definedName>
    <definedName name="wrn.preco." localSheetId="6" hidden="1">{#N/A,#N/A,FALSE,"Pla_Preço";#N/A,#N/A,FALSE,"Crono"}</definedName>
    <definedName name="wrn.preco." hidden="1">{#N/A,#N/A,FALSE,"Pla_Preço";#N/A,#N/A,FALSE,"Crono"}</definedName>
    <definedName name="X" localSheetId="6">[1]SID_NI_5!#REF!</definedName>
    <definedName name="X">[1]SID_NI_5!#REF!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4" i="1" l="1"/>
  <c r="L45" i="1" l="1"/>
  <c r="K28" i="1"/>
  <c r="K29" i="1"/>
  <c r="K30" i="1"/>
  <c r="K31" i="1"/>
  <c r="K32" i="1"/>
  <c r="K33" i="1"/>
  <c r="K34" i="1"/>
  <c r="K35" i="1"/>
  <c r="K36" i="1"/>
  <c r="K37" i="1"/>
  <c r="K38" i="1"/>
  <c r="K39" i="1"/>
  <c r="K40" i="1"/>
  <c r="K41" i="1"/>
  <c r="K42" i="1"/>
  <c r="K43" i="1"/>
  <c r="K44" i="1"/>
  <c r="K27" i="1"/>
  <c r="M32" i="1"/>
  <c r="D29" i="3"/>
  <c r="B25" i="1"/>
  <c r="E25" i="1"/>
  <c r="D25" i="1"/>
  <c r="D30" i="3" l="1"/>
  <c r="I30" i="3"/>
  <c r="J29" i="3"/>
  <c r="I22" i="3"/>
  <c r="I29" i="3" l="1"/>
  <c r="I27" i="3"/>
  <c r="D24" i="1" l="1"/>
  <c r="D23" i="1"/>
  <c r="D22" i="1"/>
  <c r="D21" i="1"/>
  <c r="D20" i="1"/>
  <c r="D19" i="1"/>
  <c r="D18" i="1"/>
  <c r="I26" i="3" l="1"/>
  <c r="I25" i="3"/>
  <c r="C21" i="3"/>
  <c r="I19" i="3"/>
  <c r="C15" i="6" l="1"/>
  <c r="L28" i="1"/>
  <c r="L29" i="1"/>
  <c r="L31" i="1"/>
  <c r="L34" i="1"/>
  <c r="L35" i="1"/>
  <c r="L36" i="1"/>
  <c r="L37" i="1"/>
  <c r="L38" i="1"/>
  <c r="L39" i="1"/>
  <c r="L40" i="1"/>
  <c r="L41" i="1"/>
  <c r="L42" i="1"/>
  <c r="L43" i="1"/>
  <c r="L44" i="1"/>
  <c r="L27" i="1"/>
  <c r="L19" i="1"/>
  <c r="L20" i="1"/>
  <c r="L21" i="1"/>
  <c r="L22" i="1"/>
  <c r="L23" i="1"/>
  <c r="L18" i="1"/>
  <c r="K19" i="1"/>
  <c r="K20" i="1"/>
  <c r="K21" i="1"/>
  <c r="K22" i="1"/>
  <c r="K23" i="1"/>
  <c r="K24" i="1"/>
  <c r="K18" i="1"/>
  <c r="L16" i="1"/>
  <c r="L13" i="1"/>
  <c r="L14" i="1"/>
  <c r="L15" i="1"/>
  <c r="L12" i="1"/>
  <c r="K13" i="1"/>
  <c r="K14" i="1"/>
  <c r="K15" i="1"/>
  <c r="K12" i="1"/>
  <c r="F15" i="5" l="1"/>
  <c r="E15" i="5"/>
  <c r="C3" i="11"/>
  <c r="B4" i="11"/>
  <c r="B6" i="11"/>
  <c r="B2" i="11"/>
  <c r="E3" i="11"/>
  <c r="D3" i="11"/>
  <c r="F3" i="11" s="1"/>
  <c r="C25" i="3" l="1"/>
  <c r="C26" i="3"/>
  <c r="C27" i="3"/>
  <c r="C28" i="3"/>
  <c r="C29" i="3"/>
  <c r="C30" i="3"/>
  <c r="C31" i="3"/>
  <c r="C32" i="3"/>
  <c r="C33" i="3"/>
  <c r="C34" i="3"/>
  <c r="C35" i="3"/>
  <c r="C36" i="3"/>
  <c r="C37" i="3"/>
  <c r="C38" i="3"/>
  <c r="C39" i="3"/>
  <c r="C40" i="3"/>
  <c r="C41" i="3"/>
  <c r="C17" i="3"/>
  <c r="C18" i="3"/>
  <c r="C19" i="3"/>
  <c r="C20" i="3"/>
  <c r="C22" i="3"/>
  <c r="I38" i="3"/>
  <c r="J28" i="3"/>
  <c r="J27" i="3"/>
  <c r="I24" i="3"/>
  <c r="D26" i="3"/>
  <c r="D25" i="3"/>
  <c r="K27" i="3" l="1"/>
  <c r="J26" i="3"/>
  <c r="C24" i="3" l="1"/>
  <c r="C16" i="3"/>
  <c r="C12" i="3"/>
  <c r="C13" i="3"/>
  <c r="C14" i="3"/>
  <c r="C11" i="3"/>
  <c r="B36" i="3"/>
  <c r="B37" i="3"/>
  <c r="B38" i="3"/>
  <c r="B39" i="3"/>
  <c r="B40" i="3"/>
  <c r="B41" i="3"/>
  <c r="B34" i="3"/>
  <c r="B35" i="3"/>
  <c r="B30" i="3"/>
  <c r="B31" i="3"/>
  <c r="B32" i="3"/>
  <c r="B33" i="3"/>
  <c r="B25" i="3"/>
  <c r="B26" i="3"/>
  <c r="B27" i="3"/>
  <c r="B28" i="3"/>
  <c r="B29" i="3"/>
  <c r="B24" i="3"/>
  <c r="B17" i="3"/>
  <c r="B18" i="3"/>
  <c r="B19" i="3"/>
  <c r="B20" i="3"/>
  <c r="B21" i="3"/>
  <c r="B22" i="3"/>
  <c r="B16" i="3"/>
  <c r="B12" i="3"/>
  <c r="B13" i="3"/>
  <c r="B14" i="3"/>
  <c r="B11" i="3"/>
  <c r="G3" i="10"/>
  <c r="I18" i="10"/>
  <c r="H18" i="10"/>
  <c r="G44" i="1" s="1"/>
  <c r="I17" i="10"/>
  <c r="H17" i="10"/>
  <c r="G43" i="1" s="1"/>
  <c r="I16" i="10"/>
  <c r="H16" i="10"/>
  <c r="G42" i="1" s="1"/>
  <c r="I15" i="10"/>
  <c r="H15" i="10"/>
  <c r="G41" i="1" s="1"/>
  <c r="I14" i="10"/>
  <c r="H14" i="10"/>
  <c r="G40" i="1" s="1"/>
  <c r="I13" i="10"/>
  <c r="H13" i="10"/>
  <c r="G39" i="1" s="1"/>
  <c r="I12" i="10"/>
  <c r="H12" i="10"/>
  <c r="G38" i="1" s="1"/>
  <c r="I11" i="10"/>
  <c r="H11" i="10"/>
  <c r="G37" i="1" s="1"/>
  <c r="I10" i="10"/>
  <c r="H10" i="10"/>
  <c r="G36" i="1" s="1"/>
  <c r="I9" i="10"/>
  <c r="H9" i="10"/>
  <c r="G35" i="1" s="1"/>
  <c r="I8" i="10"/>
  <c r="H8" i="10"/>
  <c r="G34" i="1" s="1"/>
  <c r="E151" i="10"/>
  <c r="E149" i="10"/>
  <c r="L148" i="10"/>
  <c r="J148" i="10"/>
  <c r="E148" i="10" s="1"/>
  <c r="I148" i="10"/>
  <c r="G148" i="10"/>
  <c r="L147" i="10"/>
  <c r="J147" i="10"/>
  <c r="E147" i="10" s="1"/>
  <c r="H147" i="10" s="1"/>
  <c r="I147" i="10"/>
  <c r="G147" i="10"/>
  <c r="L146" i="10"/>
  <c r="J146" i="10"/>
  <c r="E146" i="10" s="1"/>
  <c r="I146" i="10"/>
  <c r="G146" i="10"/>
  <c r="E140" i="10"/>
  <c r="E138" i="10"/>
  <c r="L137" i="10"/>
  <c r="J137" i="10"/>
  <c r="E137" i="10" s="1"/>
  <c r="L136" i="10"/>
  <c r="J136" i="10"/>
  <c r="E136" i="10" s="1"/>
  <c r="L135" i="10"/>
  <c r="J135" i="10"/>
  <c r="E135" i="10" s="1"/>
  <c r="H135" i="10" s="1"/>
  <c r="I135" i="10" s="1"/>
  <c r="E129" i="10"/>
  <c r="E127" i="10"/>
  <c r="L126" i="10"/>
  <c r="J126" i="10"/>
  <c r="E126" i="10" s="1"/>
  <c r="L125" i="10"/>
  <c r="J125" i="10"/>
  <c r="E125" i="10" s="1"/>
  <c r="L124" i="10"/>
  <c r="J124" i="10"/>
  <c r="E124" i="10" s="1"/>
  <c r="E118" i="10"/>
  <c r="E116" i="10"/>
  <c r="L115" i="10"/>
  <c r="J115" i="10"/>
  <c r="E115" i="10" s="1"/>
  <c r="L114" i="10"/>
  <c r="J114" i="10"/>
  <c r="E114" i="10" s="1"/>
  <c r="H114" i="10" s="1"/>
  <c r="I114" i="10" s="1"/>
  <c r="L113" i="10"/>
  <c r="J113" i="10"/>
  <c r="E113" i="10" s="1"/>
  <c r="E107" i="10"/>
  <c r="E105" i="10"/>
  <c r="L104" i="10"/>
  <c r="J104" i="10"/>
  <c r="E104" i="10" s="1"/>
  <c r="H104" i="10" s="1"/>
  <c r="I104" i="10" s="1"/>
  <c r="L103" i="10"/>
  <c r="J103" i="10"/>
  <c r="E103" i="10" s="1"/>
  <c r="L102" i="10"/>
  <c r="J102" i="10"/>
  <c r="E102" i="10" s="1"/>
  <c r="E96" i="10"/>
  <c r="E94" i="10"/>
  <c r="L93" i="10"/>
  <c r="J93" i="10"/>
  <c r="E93" i="10" s="1"/>
  <c r="L92" i="10"/>
  <c r="J92" i="10"/>
  <c r="E92" i="10" s="1"/>
  <c r="H92" i="10" s="1"/>
  <c r="I92" i="10" s="1"/>
  <c r="L91" i="10"/>
  <c r="J91" i="10"/>
  <c r="E91" i="10" s="1"/>
  <c r="H91" i="10" s="1"/>
  <c r="I91" i="10" s="1"/>
  <c r="D86" i="10"/>
  <c r="E86" i="10" s="1"/>
  <c r="E85" i="10"/>
  <c r="E83" i="10"/>
  <c r="L82" i="10"/>
  <c r="J82" i="10"/>
  <c r="E82" i="10" s="1"/>
  <c r="L81" i="10"/>
  <c r="J81" i="10"/>
  <c r="E81" i="10" s="1"/>
  <c r="L80" i="10"/>
  <c r="J80" i="10"/>
  <c r="E80" i="10" s="1"/>
  <c r="H80" i="10" s="1"/>
  <c r="I80" i="10" s="1"/>
  <c r="E74" i="10"/>
  <c r="E72" i="10"/>
  <c r="L71" i="10"/>
  <c r="J71" i="10"/>
  <c r="E71" i="10" s="1"/>
  <c r="F71" i="10" s="1"/>
  <c r="G71" i="10" s="1"/>
  <c r="L70" i="10"/>
  <c r="J70" i="10"/>
  <c r="E70" i="10" s="1"/>
  <c r="H70" i="10" s="1"/>
  <c r="I70" i="10" s="1"/>
  <c r="L69" i="10"/>
  <c r="J69" i="10"/>
  <c r="E69" i="10" s="1"/>
  <c r="E63" i="10"/>
  <c r="E61" i="10"/>
  <c r="L60" i="10"/>
  <c r="J60" i="10"/>
  <c r="E60" i="10" s="1"/>
  <c r="L59" i="10"/>
  <c r="J59" i="10"/>
  <c r="E59" i="10" s="1"/>
  <c r="L58" i="10"/>
  <c r="J58" i="10"/>
  <c r="E58" i="10" s="1"/>
  <c r="H58" i="10" s="1"/>
  <c r="I58" i="10" s="1"/>
  <c r="E52" i="10"/>
  <c r="E50" i="10"/>
  <c r="L49" i="10"/>
  <c r="J49" i="10"/>
  <c r="E49" i="10" s="1"/>
  <c r="H49" i="10" s="1"/>
  <c r="I49" i="10" s="1"/>
  <c r="L48" i="10"/>
  <c r="J48" i="10"/>
  <c r="E48" i="10" s="1"/>
  <c r="H48" i="10" s="1"/>
  <c r="I48" i="10" s="1"/>
  <c r="L47" i="10"/>
  <c r="J47" i="10"/>
  <c r="E47" i="10" s="1"/>
  <c r="E41" i="10"/>
  <c r="E39" i="10"/>
  <c r="L38" i="10"/>
  <c r="J38" i="10"/>
  <c r="E38" i="10" s="1"/>
  <c r="L37" i="10"/>
  <c r="J37" i="10"/>
  <c r="E37" i="10" s="1"/>
  <c r="H37" i="10" s="1"/>
  <c r="I37" i="10" s="1"/>
  <c r="L36" i="10"/>
  <c r="J36" i="10"/>
  <c r="E36" i="10" s="1"/>
  <c r="H36" i="10" s="1"/>
  <c r="I36" i="10" s="1"/>
  <c r="E30" i="10"/>
  <c r="E28" i="10"/>
  <c r="L27" i="10"/>
  <c r="J27" i="10"/>
  <c r="E27" i="10" s="1"/>
  <c r="F27" i="10" s="1"/>
  <c r="G27" i="10" s="1"/>
  <c r="L26" i="10"/>
  <c r="J26" i="10"/>
  <c r="E26" i="10" s="1"/>
  <c r="L25" i="10"/>
  <c r="J25" i="10"/>
  <c r="E25" i="10" s="1"/>
  <c r="H25" i="10" s="1"/>
  <c r="I25" i="10" s="1"/>
  <c r="D11" i="3"/>
  <c r="D12" i="3"/>
  <c r="D13" i="3"/>
  <c r="D14" i="3"/>
  <c r="E117" i="10" l="1"/>
  <c r="D119" i="10" s="1"/>
  <c r="E119" i="10" s="1"/>
  <c r="E106" i="10"/>
  <c r="D108" i="10" s="1"/>
  <c r="E108" i="10" s="1"/>
  <c r="E139" i="10"/>
  <c r="D141" i="10" s="1"/>
  <c r="E141" i="10" s="1"/>
  <c r="E95" i="10"/>
  <c r="D97" i="10" s="1"/>
  <c r="E97" i="10" s="1"/>
  <c r="E128" i="10"/>
  <c r="D130" i="10" s="1"/>
  <c r="E130" i="10" s="1"/>
  <c r="E84" i="10"/>
  <c r="E73" i="10"/>
  <c r="D75" i="10" s="1"/>
  <c r="E75" i="10" s="1"/>
  <c r="E51" i="10"/>
  <c r="D53" i="10" s="1"/>
  <c r="E53" i="10" s="1"/>
  <c r="E40" i="10"/>
  <c r="D42" i="10" s="1"/>
  <c r="E42" i="10" s="1"/>
  <c r="E62" i="10"/>
  <c r="D64" i="10" s="1"/>
  <c r="E64" i="10" s="1"/>
  <c r="M70" i="10"/>
  <c r="M38" i="10"/>
  <c r="M69" i="10"/>
  <c r="M135" i="10"/>
  <c r="M82" i="10"/>
  <c r="H126" i="10"/>
  <c r="I126" i="10" s="1"/>
  <c r="F126" i="10"/>
  <c r="G126" i="10" s="1"/>
  <c r="M146" i="10"/>
  <c r="M59" i="10"/>
  <c r="M58" i="10"/>
  <c r="M93" i="10"/>
  <c r="M124" i="10"/>
  <c r="M71" i="10"/>
  <c r="M136" i="10"/>
  <c r="M47" i="10"/>
  <c r="M36" i="10"/>
  <c r="M113" i="10"/>
  <c r="M125" i="10"/>
  <c r="M25" i="10"/>
  <c r="M48" i="10"/>
  <c r="M60" i="10"/>
  <c r="M102" i="10"/>
  <c r="M137" i="10"/>
  <c r="M147" i="10"/>
  <c r="M26" i="10"/>
  <c r="M37" i="10"/>
  <c r="M49" i="10"/>
  <c r="M91" i="10"/>
  <c r="M103" i="10"/>
  <c r="M126" i="10"/>
  <c r="M115" i="10"/>
  <c r="M81" i="10"/>
  <c r="E150" i="10"/>
  <c r="D152" i="10" s="1"/>
  <c r="E152" i="10" s="1"/>
  <c r="M148" i="10"/>
  <c r="M27" i="10"/>
  <c r="E29" i="10"/>
  <c r="D31" i="10" s="1"/>
  <c r="E31" i="10" s="1"/>
  <c r="M92" i="10"/>
  <c r="M104" i="10"/>
  <c r="F59" i="10"/>
  <c r="G59" i="10" s="1"/>
  <c r="H59" i="10"/>
  <c r="I59" i="10" s="1"/>
  <c r="H125" i="10"/>
  <c r="I125" i="10" s="1"/>
  <c r="F125" i="10"/>
  <c r="G125" i="10" s="1"/>
  <c r="F136" i="10"/>
  <c r="G136" i="10" s="1"/>
  <c r="H136" i="10"/>
  <c r="I136" i="10" s="1"/>
  <c r="H113" i="10"/>
  <c r="I113" i="10" s="1"/>
  <c r="F113" i="10"/>
  <c r="G113" i="10" s="1"/>
  <c r="H60" i="10"/>
  <c r="I60" i="10" s="1"/>
  <c r="F60" i="10"/>
  <c r="G60" i="10" s="1"/>
  <c r="H102" i="10"/>
  <c r="I102" i="10" s="1"/>
  <c r="F102" i="10"/>
  <c r="G102" i="10" s="1"/>
  <c r="H137" i="10"/>
  <c r="I137" i="10" s="1"/>
  <c r="F137" i="10"/>
  <c r="G137" i="10" s="1"/>
  <c r="F124" i="10"/>
  <c r="G124" i="10" s="1"/>
  <c r="H124" i="10"/>
  <c r="I124" i="10" s="1"/>
  <c r="F47" i="10"/>
  <c r="G47" i="10" s="1"/>
  <c r="H47" i="10"/>
  <c r="I47" i="10" s="1"/>
  <c r="H103" i="10"/>
  <c r="I103" i="10" s="1"/>
  <c r="F103" i="10"/>
  <c r="G103" i="10" s="1"/>
  <c r="H26" i="10"/>
  <c r="I26" i="10" s="1"/>
  <c r="F26" i="10"/>
  <c r="G26" i="10" s="1"/>
  <c r="F38" i="10"/>
  <c r="G38" i="10" s="1"/>
  <c r="H38" i="10"/>
  <c r="I38" i="10" s="1"/>
  <c r="H69" i="10"/>
  <c r="I69" i="10" s="1"/>
  <c r="F69" i="10"/>
  <c r="G69" i="10" s="1"/>
  <c r="H115" i="10"/>
  <c r="I115" i="10" s="1"/>
  <c r="F115" i="10"/>
  <c r="G115" i="10" s="1"/>
  <c r="H148" i="10"/>
  <c r="F148" i="10"/>
  <c r="F93" i="10"/>
  <c r="G93" i="10" s="1"/>
  <c r="H93" i="10"/>
  <c r="I93" i="10" s="1"/>
  <c r="F81" i="10"/>
  <c r="G81" i="10" s="1"/>
  <c r="H81" i="10"/>
  <c r="I81" i="10" s="1"/>
  <c r="H146" i="10"/>
  <c r="F146" i="10"/>
  <c r="H82" i="10"/>
  <c r="I82" i="10" s="1"/>
  <c r="F82" i="10"/>
  <c r="G82" i="10" s="1"/>
  <c r="F25" i="10"/>
  <c r="G25" i="10" s="1"/>
  <c r="F114" i="10"/>
  <c r="G114" i="10" s="1"/>
  <c r="F37" i="10"/>
  <c r="G37" i="10" s="1"/>
  <c r="F80" i="10"/>
  <c r="G80" i="10" s="1"/>
  <c r="F92" i="10"/>
  <c r="G92" i="10" s="1"/>
  <c r="F135" i="10"/>
  <c r="G135" i="10" s="1"/>
  <c r="F58" i="10"/>
  <c r="G58" i="10" s="1"/>
  <c r="F104" i="10"/>
  <c r="G104" i="10" s="1"/>
  <c r="F147" i="10"/>
  <c r="F49" i="10"/>
  <c r="G49" i="10" s="1"/>
  <c r="H71" i="10"/>
  <c r="I71" i="10" s="1"/>
  <c r="F70" i="10"/>
  <c r="G70" i="10" s="1"/>
  <c r="H27" i="10"/>
  <c r="I27" i="10" s="1"/>
  <c r="F48" i="10"/>
  <c r="G48" i="10" s="1"/>
  <c r="F91" i="10"/>
  <c r="G91" i="10" s="1"/>
  <c r="M114" i="10"/>
  <c r="F36" i="10"/>
  <c r="G36" i="10" s="1"/>
  <c r="M80" i="10"/>
  <c r="F16" i="8" l="1"/>
  <c r="F15" i="7"/>
  <c r="C7" i="6"/>
  <c r="E9" i="5"/>
  <c r="G3" i="4"/>
  <c r="H8" i="4"/>
  <c r="I8" i="4"/>
  <c r="H9" i="4"/>
  <c r="I9" i="4"/>
  <c r="H35" i="1" s="1"/>
  <c r="H10" i="4"/>
  <c r="I10" i="4"/>
  <c r="H11" i="4"/>
  <c r="I11" i="4"/>
  <c r="H12" i="4"/>
  <c r="I12" i="4"/>
  <c r="H38" i="1" s="1"/>
  <c r="H13" i="4"/>
  <c r="I13" i="4"/>
  <c r="H14" i="4"/>
  <c r="H40" i="1" s="1"/>
  <c r="I14" i="4"/>
  <c r="H15" i="4"/>
  <c r="I15" i="4"/>
  <c r="H16" i="4"/>
  <c r="I16" i="4"/>
  <c r="H17" i="4"/>
  <c r="H43" i="1" s="1"/>
  <c r="I17" i="4"/>
  <c r="H18" i="4"/>
  <c r="I18" i="4"/>
  <c r="H44" i="1" s="1"/>
  <c r="E6" i="3"/>
  <c r="E6" i="2"/>
  <c r="H11" i="2"/>
  <c r="H10" i="2" s="1"/>
  <c r="H12" i="2"/>
  <c r="H13" i="2"/>
  <c r="H14" i="2"/>
  <c r="H15" i="2"/>
  <c r="H19" i="2"/>
  <c r="H18" i="2" s="1"/>
  <c r="H20" i="2"/>
  <c r="G21" i="2"/>
  <c r="G28" i="2" s="1"/>
  <c r="H21" i="2"/>
  <c r="G22" i="2"/>
  <c r="G29" i="2" s="1"/>
  <c r="H22" i="2"/>
  <c r="G26" i="2"/>
  <c r="H26" i="2"/>
  <c r="G27" i="2"/>
  <c r="G34" i="2" s="1"/>
  <c r="G33" i="2"/>
  <c r="H33" i="2" s="1"/>
  <c r="H56" i="2"/>
  <c r="H57" i="2"/>
  <c r="H58" i="2"/>
  <c r="H59" i="2"/>
  <c r="F12" i="1"/>
  <c r="I12" i="1" s="1"/>
  <c r="H12" i="1"/>
  <c r="F13" i="1"/>
  <c r="H13" i="1"/>
  <c r="F14" i="1"/>
  <c r="I14" i="1" s="1"/>
  <c r="H14" i="1"/>
  <c r="F15" i="1"/>
  <c r="H15" i="1"/>
  <c r="F18" i="1"/>
  <c r="F19" i="1"/>
  <c r="F20" i="1"/>
  <c r="F21" i="1"/>
  <c r="F22" i="1"/>
  <c r="F23" i="1"/>
  <c r="F24" i="1"/>
  <c r="L24" i="1" s="1"/>
  <c r="L25" i="1" s="1"/>
  <c r="C16" i="6" s="1"/>
  <c r="F27" i="1"/>
  <c r="H27" i="1"/>
  <c r="F28" i="1"/>
  <c r="H28" i="1"/>
  <c r="F29" i="1"/>
  <c r="H29" i="1"/>
  <c r="F30" i="1"/>
  <c r="L30" i="1" s="1"/>
  <c r="H30" i="1"/>
  <c r="F31" i="1"/>
  <c r="H31" i="1"/>
  <c r="F32" i="1"/>
  <c r="L32" i="1" s="1"/>
  <c r="H32" i="1"/>
  <c r="F33" i="1"/>
  <c r="L33" i="1" s="1"/>
  <c r="H33" i="1"/>
  <c r="D34" i="1"/>
  <c r="F34" i="1"/>
  <c r="H34" i="1"/>
  <c r="I34" i="1" s="1"/>
  <c r="D35" i="1"/>
  <c r="F35" i="1"/>
  <c r="D36" i="1"/>
  <c r="F36" i="1"/>
  <c r="H36" i="1"/>
  <c r="D37" i="1"/>
  <c r="F37" i="1"/>
  <c r="H37" i="1"/>
  <c r="D38" i="1"/>
  <c r="F38" i="1"/>
  <c r="D39" i="1"/>
  <c r="F39" i="1"/>
  <c r="H39" i="1"/>
  <c r="D40" i="1"/>
  <c r="F40" i="1"/>
  <c r="D41" i="1"/>
  <c r="F41" i="1"/>
  <c r="H41" i="1"/>
  <c r="D42" i="1"/>
  <c r="F42" i="1"/>
  <c r="H42" i="1"/>
  <c r="D43" i="1"/>
  <c r="F43" i="1"/>
  <c r="D44" i="1"/>
  <c r="F44" i="1"/>
  <c r="I31" i="1" l="1"/>
  <c r="I44" i="1"/>
  <c r="I30" i="1"/>
  <c r="I27" i="1"/>
  <c r="I32" i="1"/>
  <c r="I15" i="1"/>
  <c r="I28" i="1"/>
  <c r="I29" i="1"/>
  <c r="I33" i="1"/>
  <c r="I13" i="1"/>
  <c r="I40" i="1"/>
  <c r="I38" i="1"/>
  <c r="I39" i="1"/>
  <c r="I42" i="1"/>
  <c r="I36" i="1"/>
  <c r="H34" i="2"/>
  <c r="G41" i="2"/>
  <c r="G18" i="1"/>
  <c r="H18" i="1" s="1"/>
  <c r="I18" i="1" s="1"/>
  <c r="G10" i="2"/>
  <c r="G36" i="2"/>
  <c r="H29" i="2"/>
  <c r="G35" i="2"/>
  <c r="H28" i="2"/>
  <c r="G18" i="2"/>
  <c r="G19" i="1"/>
  <c r="H19" i="1" s="1"/>
  <c r="I19" i="1" s="1"/>
  <c r="G40" i="2"/>
  <c r="H27" i="2"/>
  <c r="H25" i="2" s="1"/>
  <c r="I41" i="1"/>
  <c r="I35" i="1"/>
  <c r="I43" i="1"/>
  <c r="I37" i="1"/>
  <c r="C17" i="6" l="1"/>
  <c r="L46" i="1"/>
  <c r="I16" i="1"/>
  <c r="C22" i="6" s="1"/>
  <c r="G25" i="2"/>
  <c r="G20" i="1"/>
  <c r="H20" i="1" s="1"/>
  <c r="I20" i="1" s="1"/>
  <c r="G42" i="2"/>
  <c r="H35" i="2"/>
  <c r="H32" i="2" s="1"/>
  <c r="H41" i="2"/>
  <c r="G48" i="2"/>
  <c r="G47" i="2"/>
  <c r="H40" i="2"/>
  <c r="G43" i="2"/>
  <c r="H36" i="2"/>
  <c r="I45" i="1"/>
  <c r="C7" i="11" s="1"/>
  <c r="E7" i="11" l="1"/>
  <c r="D7" i="11"/>
  <c r="I49" i="1"/>
  <c r="C15" i="5"/>
  <c r="C19" i="5"/>
  <c r="C18" i="6"/>
  <c r="L47" i="1" s="1"/>
  <c r="C24" i="6"/>
  <c r="D15" i="5"/>
  <c r="G21" i="1"/>
  <c r="H21" i="1" s="1"/>
  <c r="I21" i="1" s="1"/>
  <c r="G32" i="2"/>
  <c r="H39" i="2"/>
  <c r="G54" i="2"/>
  <c r="H54" i="2" s="1"/>
  <c r="H47" i="2"/>
  <c r="G55" i="2"/>
  <c r="H55" i="2" s="1"/>
  <c r="H48" i="2"/>
  <c r="G50" i="2"/>
  <c r="H50" i="2" s="1"/>
  <c r="H43" i="2"/>
  <c r="H42" i="2"/>
  <c r="G49" i="2"/>
  <c r="H49" i="2" s="1"/>
  <c r="I51" i="1"/>
  <c r="I53" i="1" s="1"/>
  <c r="D19" i="5" l="1"/>
  <c r="E19" i="5"/>
  <c r="F7" i="11"/>
  <c r="G39" i="2"/>
  <c r="G22" i="1"/>
  <c r="H22" i="1" s="1"/>
  <c r="I22" i="1" s="1"/>
  <c r="H46" i="2"/>
  <c r="H53" i="2"/>
  <c r="F19" i="5" l="1"/>
  <c r="G53" i="2"/>
  <c r="G24" i="1"/>
  <c r="H24" i="1" s="1"/>
  <c r="I24" i="1" s="1"/>
  <c r="G23" i="1"/>
  <c r="H23" i="1" s="1"/>
  <c r="I23" i="1" s="1"/>
  <c r="G46" i="2"/>
  <c r="I25" i="1" l="1"/>
  <c r="C5" i="11" s="1"/>
  <c r="E5" i="11" l="1"/>
  <c r="E8" i="11" s="1"/>
  <c r="E9" i="11" s="1"/>
  <c r="D5" i="11"/>
  <c r="C8" i="11"/>
  <c r="C23" i="6"/>
  <c r="C25" i="6" s="1"/>
  <c r="C17" i="5"/>
  <c r="I50" i="1"/>
  <c r="I52" i="1" s="1"/>
  <c r="I47" i="1"/>
  <c r="J25" i="1" s="1"/>
  <c r="H50" i="1" s="1"/>
  <c r="E17" i="5" l="1"/>
  <c r="E20" i="5" s="1"/>
  <c r="F5" i="11"/>
  <c r="F8" i="11" s="1"/>
  <c r="D8" i="11"/>
  <c r="D17" i="5"/>
  <c r="D20" i="5" s="1"/>
  <c r="D21" i="5" s="1"/>
  <c r="C20" i="5"/>
  <c r="J45" i="1"/>
  <c r="H51" i="1" s="1"/>
  <c r="J15" i="1"/>
  <c r="J29" i="1"/>
  <c r="J39" i="1"/>
  <c r="J37" i="1"/>
  <c r="J19" i="1"/>
  <c r="J13" i="1"/>
  <c r="J35" i="1"/>
  <c r="J36" i="1"/>
  <c r="J32" i="1"/>
  <c r="J41" i="1"/>
  <c r="J40" i="1"/>
  <c r="J33" i="1"/>
  <c r="J18" i="1"/>
  <c r="J12" i="1"/>
  <c r="J28" i="1"/>
  <c r="J16" i="1"/>
  <c r="H49" i="1" s="1"/>
  <c r="J43" i="1"/>
  <c r="J34" i="1"/>
  <c r="J27" i="1"/>
  <c r="J20" i="1"/>
  <c r="J38" i="1"/>
  <c r="J21" i="1"/>
  <c r="H53" i="1"/>
  <c r="J44" i="1"/>
  <c r="J31" i="1"/>
  <c r="J30" i="1"/>
  <c r="J42" i="1"/>
  <c r="J14" i="1"/>
  <c r="J22" i="1"/>
  <c r="J23" i="1"/>
  <c r="J24" i="1"/>
  <c r="H52" i="1"/>
  <c r="D9" i="11" l="1"/>
  <c r="D10" i="11"/>
  <c r="E10" i="11" s="1"/>
  <c r="F10" i="11" s="1"/>
  <c r="F17" i="5"/>
  <c r="F20" i="5" s="1"/>
  <c r="F22" i="5" s="1"/>
  <c r="E21" i="5"/>
  <c r="D22" i="5"/>
  <c r="D23" i="5" s="1"/>
  <c r="E22" i="5"/>
  <c r="E23" i="5" l="1"/>
  <c r="F23" i="5"/>
  <c r="F21" i="5"/>
  <c r="D11" i="11"/>
  <c r="E11" i="11" s="1"/>
  <c r="F9" i="11"/>
  <c r="F11" i="11" s="1"/>
</calcChain>
</file>

<file path=xl/sharedStrings.xml><?xml version="1.0" encoding="utf-8"?>
<sst xmlns="http://schemas.openxmlformats.org/spreadsheetml/2006/main" count="948" uniqueCount="303">
  <si>
    <t>_______________________________
Malcon R. Utuari Santos
Gestor de Operações – Eng. Elétrica
GEILP - SISEP</t>
  </si>
  <si>
    <t>TOTAL DO ORÇAMENTO ==&gt;</t>
  </si>
  <si>
    <t>TOTAL DO ORÇAMENTO BDI(2) =&gt;</t>
  </si>
  <si>
    <t>TOTAL DO ORÇAMENTO BDI(1) =&gt;</t>
  </si>
  <si>
    <t>MATERIAIS ELÉTRICOS</t>
  </si>
  <si>
    <t>3.</t>
  </si>
  <si>
    <t>SERVIÇO DE INSTALACOES ELETRICAS</t>
  </si>
  <si>
    <t>2.</t>
  </si>
  <si>
    <t>ADMINISTRAÇÃO CANTEIRO DE OBRAS</t>
  </si>
  <si>
    <t>1.</t>
  </si>
  <si>
    <t>RESUMO DO ORÇAMENTO</t>
  </si>
  <si>
    <t>TOTAL DO ORÇAMENTO</t>
  </si>
  <si>
    <t xml:space="preserve"> TOTAL (3)</t>
  </si>
  <si>
    <t>UN</t>
  </si>
  <si>
    <t>COTAÇÃO 11</t>
  </si>
  <si>
    <t>3.18</t>
  </si>
  <si>
    <t>COTAÇÃO 10</t>
  </si>
  <si>
    <t>3.17</t>
  </si>
  <si>
    <t>COTAÇÃO 9</t>
  </si>
  <si>
    <t>3.16</t>
  </si>
  <si>
    <t>CAIXA 10 M</t>
  </si>
  <si>
    <t>COTAÇÃO 8</t>
  </si>
  <si>
    <t>3.15</t>
  </si>
  <si>
    <t>COTAÇÃO 7</t>
  </si>
  <si>
    <t>3.14</t>
  </si>
  <si>
    <t>ROLO 100 M</t>
  </si>
  <si>
    <t>COTAÇÃO 6</t>
  </si>
  <si>
    <t>3.13</t>
  </si>
  <si>
    <t>COTAÇÃO 5</t>
  </si>
  <si>
    <t>3.12</t>
  </si>
  <si>
    <t>COTAÇÃO 4</t>
  </si>
  <si>
    <t>3.11</t>
  </si>
  <si>
    <t>COTAÇÃO 3</t>
  </si>
  <si>
    <t>3.10</t>
  </si>
  <si>
    <t>COTAÇÃO 2</t>
  </si>
  <si>
    <t>3.9</t>
  </si>
  <si>
    <t>COTAÇÃO 1</t>
  </si>
  <si>
    <t>3.8</t>
  </si>
  <si>
    <t>KG</t>
  </si>
  <si>
    <t>ACO CA-25, 6,3 MM OU 8,0 MM, VERGALHAO</t>
  </si>
  <si>
    <t>SINAPI</t>
  </si>
  <si>
    <t>3.7</t>
  </si>
  <si>
    <t>ARAME RECOZIDO 16 BWG, D = 1,65 MM (0,016 KG/M) OU 18 BWG, D = 1,25 MM (0,01 KG/M)</t>
  </si>
  <si>
    <t>3.6</t>
  </si>
  <si>
    <t>ABRACADEIRA DE NYLON PARA AMARRACAO DE CABOS, COMPRIMENTO DE 200 X *4,6* MM</t>
  </si>
  <si>
    <t>3.5</t>
  </si>
  <si>
    <t>FITA ISOLANTE ADESIVA ANTICHAMA, USO ATE 750 V, EM ROLO DE 19 MM X 20 M</t>
  </si>
  <si>
    <t>3.4</t>
  </si>
  <si>
    <t>M</t>
  </si>
  <si>
    <t>CABO DE COBRE, FLEXIVEL, CLASSE 4 OU 5, ISOLACAO EM PVC/A, ANTICHAMA BWF-B, 1 CONDUTOR, 450/750 V, SECAO NOMINAL 4 MM2</t>
  </si>
  <si>
    <t>3.3</t>
  </si>
  <si>
    <t>CABO DE COBRE, FLEXIVEL, CLASSE 4 OU 5, ISOLACAO EM PVC/A, ANTICHAMA BWF-B, 1 CONDUTOR, 450/750 V, SECAO NOMINAL 2,5 MM2</t>
  </si>
  <si>
    <t>3.2</t>
  </si>
  <si>
    <t>CABO DE COBRE, FLEXIVEL, CLASSE 4 OU 5, ISOLACAO EM PVC/A, ANTICHAMA BWF-B, 1 CONDUTOR, 450/750 V, SECAO NOMINAL 1,5 MM2</t>
  </si>
  <si>
    <t>3.1</t>
  </si>
  <si>
    <t>TOTAL (2)</t>
  </si>
  <si>
    <t>INSTALAÇÃO E DESINSTALAÇÃO DE ESTRUTURAS METALICAS PARA DECORAÇÃO NATALINA</t>
  </si>
  <si>
    <t>PRÓPRIO</t>
  </si>
  <si>
    <t>COMP - 07</t>
  </si>
  <si>
    <t>2.7</t>
  </si>
  <si>
    <t>INSTALAÇÃO E DESINSTALAÇÃO DE REFLETOR EM ESTRUTURAS DE 0 ATÉ 6 M DE ALTURA</t>
  </si>
  <si>
    <t>COMP - 06</t>
  </si>
  <si>
    <t>2.6</t>
  </si>
  <si>
    <t>INSTALAÇÃO E DESINSTALAÇÃO DE CORDÃO LED STROBO EM ESTRUTURAS DE 0 ATÉ 6 M DE ALTURA</t>
  </si>
  <si>
    <t>COMP - 05</t>
  </si>
  <si>
    <t>2.5</t>
  </si>
  <si>
    <t>INSTALAÇÃO E DESINSTALAÇÃO DE CORDÃO LUMINOSO LED 100 E 120 LEDS ACIMA DE 0 A 12 M DE ALTURA - FORNECIMENTO E INSTALAÇÃO</t>
  </si>
  <si>
    <t>COMP - 04</t>
  </si>
  <si>
    <t>2.4</t>
  </si>
  <si>
    <t>INSTALAÇÃO E DESINSTALAÇÃO DE DESCIDA DE MANGUEIRA LUMINOSA LED 100 MTS ACIMA DE 0 A 6 M DE ALTURA - FORNECIMENTO E INSTALAÇÃO</t>
  </si>
  <si>
    <t>COMP - 03</t>
  </si>
  <si>
    <t>2.3</t>
  </si>
  <si>
    <t>INSTALAÇÃO E DESINSTALAÇÃO DE DESCIDA DE MANGUEIRA LUMINOSA LED 100 MTS ACIMA DE 6 A 12 M DE ALTURA - FORNECIMENTO E INSTALAÇÃO</t>
  </si>
  <si>
    <t>COMP - 02</t>
  </si>
  <si>
    <t xml:space="preserve"> 2.2 </t>
  </si>
  <si>
    <t>COMP - 01</t>
  </si>
  <si>
    <t xml:space="preserve"> 2.1 </t>
  </si>
  <si>
    <t>SERVIÇO DE INSTALAÇÕES ELÉTRICAS</t>
  </si>
  <si>
    <t xml:space="preserve"> 2 </t>
  </si>
  <si>
    <t>TOTAL (1)</t>
  </si>
  <si>
    <t>CHI</t>
  </si>
  <si>
    <t>CAMINHONETE CABINE SIMPLES COM MOTOR 1.6 FLEX, CÂMBIO MANUAL, POTÊNCIA 101/104 CV, 2 PORTAS - CHI DIURNO. AF_11/2015</t>
  </si>
  <si>
    <t xml:space="preserve"> 1.4</t>
  </si>
  <si>
    <t>CHP</t>
  </si>
  <si>
    <t>CAMINHONETE CABINE SIMPLES COM MOTOR 1.6 FLEX, CÂMBIO MANUAL, POTÊNCIA 101/104 CV, 2 PORTAS - CHP DIURNO. AF_11/2015</t>
  </si>
  <si>
    <t xml:space="preserve"> 1.3 </t>
  </si>
  <si>
    <t>H</t>
  </si>
  <si>
    <t>APONTADOR OU APROPRIADOR COM ENCARGOS COMPLEMENTARES</t>
  </si>
  <si>
    <t xml:space="preserve"> 90767 </t>
  </si>
  <si>
    <t xml:space="preserve"> 1.2 </t>
  </si>
  <si>
    <t>ENCARREGADO GERAL COM ENCARGOS COMPLEMENTARES</t>
  </si>
  <si>
    <t xml:space="preserve"> 90776 </t>
  </si>
  <si>
    <t xml:space="preserve"> 1.1</t>
  </si>
  <si>
    <t xml:space="preserve"> 1 </t>
  </si>
  <si>
    <t>Peso (%)</t>
  </si>
  <si>
    <t>Total</t>
  </si>
  <si>
    <t>Valor Unit com BDI</t>
  </si>
  <si>
    <t>Valor Unit</t>
  </si>
  <si>
    <t>Quant.</t>
  </si>
  <si>
    <t>Und</t>
  </si>
  <si>
    <t>Descrição</t>
  </si>
  <si>
    <t>Banco</t>
  </si>
  <si>
    <t>Código</t>
  </si>
  <si>
    <t>Item</t>
  </si>
  <si>
    <t>BDI Material:</t>
  </si>
  <si>
    <t>BDI Serviços:</t>
  </si>
  <si>
    <t>NÃO DESONERADO</t>
  </si>
  <si>
    <t xml:space="preserve">Encargos Sociais: </t>
  </si>
  <si>
    <t>SINAPI - 07/2025 - MS</t>
  </si>
  <si>
    <t>Bancos:</t>
  </si>
  <si>
    <t>OBRA: CONTRATAÇÃO DE EMPRESA ESPECIALIZADA NO SERVIÇO DE ENGENHARIA, PARA A IMPLANTAÇÃO DE ILUMINAÇÃO DECORATIVA NATALINA, COM FORNECIMENTO DE MATERIAIS</t>
  </si>
  <si>
    <t>SECRETARIA MUNICIPAL DE INFRAESTRUTURA E SERVIÇOS PÚBLICOS - SISEP</t>
  </si>
  <si>
    <t>PREFEITURA MUNICIPAL DE CAMPO GRANDE</t>
  </si>
  <si>
    <t>AUXILIAR DE SERRALHEIRO COM ENCARGOS COMPLEMENTARES</t>
  </si>
  <si>
    <t>Composição Auxiliar</t>
  </si>
  <si>
    <t>SERRALHEIRO COM ENCARGOS COMPLEMENTARES</t>
  </si>
  <si>
    <t>AJUDANTE DE ESTRUTURA METÁLICA COM ENCARGOS COMPLEMENTARES</t>
  </si>
  <si>
    <t>CAMINHONETE CABINE SIMPLES COM MOTOR 1.6 FLEX, CÂMBIO MANUAL, POTÊNCIA 101/104 CV, 2 PORTAS - CHI DIURNO</t>
  </si>
  <si>
    <t>CAMINHONETE CABINE SIMPLES COM MOTOR 1.6 FLEX, CÂMBIO MANUAL, POTÊNCIA 101/104 CV, 2 PORTAS - CHP DIURNO</t>
  </si>
  <si>
    <t>Próprio</t>
  </si>
  <si>
    <t xml:space="preserve"> COMP - 07</t>
  </si>
  <si>
    <t>Composição</t>
  </si>
  <si>
    <t>AUXILIAR DE ELETRICISTA COM ENCARGOS COMPLEMENTARES</t>
  </si>
  <si>
    <t xml:space="preserve"> 88247 </t>
  </si>
  <si>
    <t>ELETRICISTA COM ENCARGOS COMPLEMENTARES</t>
  </si>
  <si>
    <t xml:space="preserve"> 88264 </t>
  </si>
  <si>
    <t xml:space="preserve"> COMP - 06</t>
  </si>
  <si>
    <t xml:space="preserve"> COMP - 05</t>
  </si>
  <si>
    <t xml:space="preserve"> COMP - 04</t>
  </si>
  <si>
    <t xml:space="preserve"> COMP - 03</t>
  </si>
  <si>
    <t xml:space="preserve"> COMP - 02</t>
  </si>
  <si>
    <t>2.2</t>
  </si>
  <si>
    <t>GUINDAUTO HIDRÁULICO, CAPACIDADE MÁXIMA DE CARGA 6500 KG, MOMENTO MÁXIMO DE CARGA 5,8 TM, ALCANCE MÁXIMO HORIZONTAL 7,60 M, INCLUSIVE CAMINHÃO TOCO PBT 9.700 KG, POTÊNCIA DE 160 CV - CHP DIURNO. AF_08/2015</t>
  </si>
  <si>
    <t>CAMINHÃO TOCO, PBT 16.000 KG, CARGA ÚTIL MÁX. 10.685 KG, DIST. ENTRE EIXOS 4,8 M, POTÊNCIA 189 CV, INCLUSIVE CARROCERIA FIXA ABERTA DE MADEIRA P/ TRANSPORTE GERAL DE CARGA SECA, DIMEN. APROX. 2,5 X 7,00 X 0,50M - CHI DIURNO</t>
  </si>
  <si>
    <t>CAMINHÃO TOCO, PBT 16.000 KG, CARGA ÚTIL MÁX. 10.685 KG, DIST. ENTRE EIXOS 4,8 M, POTÊNCIA 189 CV, INCLUSIVE CARROCERIA FIXA ABERTA DE MADEIRA P/ TRANSPORTE GERAL DE CARGA SECA, DIMEN. APROX. 2,5 X 7,00 X 0,50 M - CHP DIURNO. AF_06/2014</t>
  </si>
  <si>
    <t xml:space="preserve"> 5824 </t>
  </si>
  <si>
    <t xml:space="preserve"> COMP - 01</t>
  </si>
  <si>
    <t>2.1</t>
  </si>
  <si>
    <t>COMPOSIÇÕES PRÓPRIAS</t>
  </si>
  <si>
    <t>QUANTIDADE ESTIMADA COM AS ALOCAÇÕES PREVISTAS NO MEMORIAL DESCRITIVO, TOTALIZANDO 12 UNIDADES.</t>
  </si>
  <si>
    <t>CAIXA 12 M</t>
  </si>
  <si>
    <t>QUANTIDADE ESTIMADA COM AS ALOCAÇÕES PREVISTAS NO MEMORIAL DESCRITIVO, TOTALIZANDO 7 UNIDADES.</t>
  </si>
  <si>
    <t>QUANTIDADE ESTIMADA COM AS ALOCAÇÕES PREVISTAS NO MEMORIAL DESCRITIVO, TOTALIZANDO 302 UNIDADES.</t>
  </si>
  <si>
    <t>CONSIDERANDO TODAS AS INSTALAÇÕES DESCRITAS NO MEMORIAL DESCRITIVO, TOTALIZA A UTILIZAÇÃO DE 6.080 METROS, CADA CAIXA POSSUI 10 METROS DE CORDÃO, TOTALIZANDO 608 CAIXAS.</t>
  </si>
  <si>
    <t>CONSIDERANDO TODAS AS INSTALAÇÕES DESCRITAS NO MEMORIAL DESCRITIVO, TOTALIZA A UTILIZAÇÃO DE 19.966 METROS, EQUIVALENTE A 200 ROLOS.</t>
  </si>
  <si>
    <t>CONSIDERANDO TODAS AS INSTALAÇÕES DESCRITAS NO MEMORIAL DESCRITIVO, TOTALIZA A UTILIZAÇÃO DE 4.556 METROS, EQUIVALENTE A 46 ROLOS.</t>
  </si>
  <si>
    <t>CONSIDERANDO TODAS AS INSTALAÇÕES DESCRITAS NO MEMORIAL DESCRITIVO, TOTALIZA A UTILIZAÇÃO DE 2.038,00 METROS, EQUIVALENTE A 21 ROLOS.</t>
  </si>
  <si>
    <t>CONSIDERANDO TODAS AS INSTALAÇÕES DESCRITAS NO MEMORIAL DESCRITIVO, TOTALIZA A UTILIZAÇÃO DE 4.464 METROS, EQUIVALENTE A 45 ROLOS.</t>
  </si>
  <si>
    <t>CONSIDERANDO TODAS AS INSTALAÇÕES DESCRITAS NO MEMORIAL DESCRITIVO, TOTALIZA A UTILIZAÇÃO DE 27.766,60 METROS, EQUIVALENTE A 278 ROLOS.</t>
  </si>
  <si>
    <t>CONSIDERANDO TODAS AS INSTALAÇÕES DESCRITAS NO MEMORIAL DESCRITIVO TOTALIZA A UTILIZAÇÃO DE 49.020,60 METROS, EQUIVALENTE A 491 ROLOS.</t>
  </si>
  <si>
    <t>MATERIAL ELÉTRICO</t>
  </si>
  <si>
    <t xml:space="preserve"> 2.6</t>
  </si>
  <si>
    <t>QUANTIDADE ESTIMADA COM AS ALOCAÇÕES PREVISTAS NO MEMORIAL DESCRITIVO, SENDO 12 CAIXAS COM 12 METROS CADA, TOTALIZANDO 12 INSTALAÇÕES PREVISTAS NO MEMORIAL DESCRITIVO</t>
  </si>
  <si>
    <t xml:space="preserve"> 2.5</t>
  </si>
  <si>
    <t>QUANTIDADE ESTIMADA COM AS ALOCAÇÕES PREVISTAS NO MEMORIAL DESCRITIVO, INCLUINDO 608 CAIXAS DE CORDÃO LEDS ROSA (100 LEDS, 10M/CAIXA) E 1.296 CAIXAS DE CORDÃO LEDS BRANCO (120 LEDS, 10M/CAIXA) TOTALIZANDO 1.904 INSTALAÇÕES PREVISTAS NO MEMORIAL DESCRITIVO</t>
  </si>
  <si>
    <t xml:space="preserve"> 2.4</t>
  </si>
  <si>
    <t xml:space="preserve"> 2.3</t>
  </si>
  <si>
    <t xml:space="preserve"> 2.2</t>
  </si>
  <si>
    <t>QUANTIDADE ESTIMADA COM AS ALOCAÇÕES PREVISTAS NOS 426 POSTES DAS AVENIDAS,COM IMPLANTANDO DE APROXIMADAMENTE 48.655,20 METROS DE MANGUEIRA, TOTALIZANDO 487 ROLOS, CONFORME MEMORIAL DESCRITIVO.</t>
  </si>
  <si>
    <t xml:space="preserve"> 1.3</t>
  </si>
  <si>
    <t xml:space="preserve"> 1.2</t>
  </si>
  <si>
    <t xml:space="preserve"> 1.1 </t>
  </si>
  <si>
    <t>Memória de Cálculo</t>
  </si>
  <si>
    <t>CORDÃO COM 24 STROBOS NA COR BRANCO FRIO, COM FIO TRANSPARENTE, DIÂMETRO DE 1,8MM, 220V, USO EXTERNO, IP44, COMPRIMENTO DE 12 METROS, POTÊNCIA 70W.</t>
  </si>
  <si>
    <t>PROJETOR/REFLETOR DE LED 300 WATTS, BIVOLT, GRAU DE PROTEÇÃO MÍNIMO IP 65. COR: BRANCO FRIO</t>
  </si>
  <si>
    <t>CORDÃO 120 LEDS SENDO 90 LEDS FIXOS E 30 LEDS ESTROBO, BRANCO FRIO COM FIO VERDE, FIAÇÃO DE COBRE, DIÂMETRO DE 1,8 MM, COMPRIMENTO DE 9,5M MAIS 0,50M DE TOMADA, DISTÂNCIA DE 8CM DE UM LED PARA OUTRO, LEDS DE 5CM, SISTEMA DE CONEXÃO COM TOMADA MACHO E FÊMEA PARA UNIÃO DE ATÉ 05 CONJUNTOS, USO EXTERNO, IP44, RESISTENTE A CHUVA, COM RESINA NA BASE DOS LEDS, TOTALMENTE À PROVA D’ÁGUA, 220V, POTÊNCIA 4,2W, COM FONTE RETIFICADORA IP65.</t>
  </si>
  <si>
    <t>CORDÃO 100 LEDS, SENDO 80 LEDS FIXO NA COR ROSA E 20 LEDS ESTROBO NA COR BRANCO FRIO, COM FIO VERDE, FIAÇÃO DE COBRE, DIÂMETRO DE 1,8MM, COMPRIMENTO DE 9,5M MAIS 0,50M DE TOMADA, DISTÂNCIA DE 10CM DE UM LED PARA OUTRO, LEDS DE 5CM, SISTEMA DE CONEXÃO COM TOMADA MACHO E FÊMEA PARA UNIÃO DE ATÉ 05 CONJUNTOS, USO EXTERNO, IP44, RESISTENTE A CHUVA, COM RESINA NA BASE DOS LEDS, TOTALMENTE À PROVA D’ÁGUA, 220V, POTÊNCIA 3,9W, COM FONTE RETIFICADORA IP65.</t>
  </si>
  <si>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ROSA.</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</si>
  <si>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AMARELO.</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</si>
  <si>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VERMELHO.</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</si>
  <si>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VERDE.</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</si>
  <si>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AZUL.</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</si>
  <si>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1"/>
        <color theme="1"/>
        <rFont val="Calibri"/>
        <family val="2"/>
        <scheme val="minor"/>
      </rPr>
      <t>NA COR BRANCO QUENTE.</t>
    </r>
  </si>
  <si>
    <t>MEDIANA</t>
  </si>
  <si>
    <t>MÉDIA SIMPLES</t>
  </si>
  <si>
    <t>AUTOENG MONTAGENS CNPJ: 10.377.750/0001-30</t>
  </si>
  <si>
    <t>DN DECOR LTDA – CNPJ: 48.127.007/0001-03</t>
  </si>
  <si>
    <t>FORTLUX ATACADISTA LTDA - CNPJ: 21.389.668/0001-42</t>
  </si>
  <si>
    <t>QUANT.</t>
  </si>
  <si>
    <t>ESPECIFICAÇÃO</t>
  </si>
  <si>
    <t>ITEM</t>
  </si>
  <si>
    <t>MAPA DE COTAÇÃO</t>
  </si>
  <si>
    <t>PERCENTUAL ACUMULADO</t>
  </si>
  <si>
    <t>PERCENTUAL</t>
  </si>
  <si>
    <t>TOTAL ACUMULADO</t>
  </si>
  <si>
    <t>TOTAL</t>
  </si>
  <si>
    <t>SERVIÇOS</t>
  </si>
  <si>
    <t>90 dias</t>
  </si>
  <si>
    <t>60 dias</t>
  </si>
  <si>
    <t>30 dias</t>
  </si>
  <si>
    <t>Total Por Etapa</t>
  </si>
  <si>
    <t>CRONOGRAMA FÍSICO-FINANCEIRO</t>
  </si>
  <si>
    <t>Bancos Utilizados:</t>
  </si>
  <si>
    <t>B.D.I. SERVIÇOS:</t>
  </si>
  <si>
    <t xml:space="preserve"> PREFEITURA MUNICIPAL DE CAMPO GRANDE</t>
  </si>
  <si>
    <t xml:space="preserve">_______________________________
Malcon R. Utuari Santos
Gestor de Operações – Eng. Elétrica
SISEP
</t>
  </si>
  <si>
    <t>TOTAL:</t>
  </si>
  <si>
    <t>VALOR</t>
  </si>
  <si>
    <t>DESCRIÇÃO</t>
  </si>
  <si>
    <t>DESONERADO</t>
  </si>
  <si>
    <t xml:space="preserve"> BDI. SERVIÇOS NÃO DESONERADO:</t>
  </si>
  <si>
    <t xml:space="preserve"> BDI. SERVIÇOS DESONERADO:</t>
  </si>
  <si>
    <t>DATA/BASE:</t>
  </si>
  <si>
    <t>QUADRO COMPARATIVO DOS ORÇAMENTOS</t>
  </si>
  <si>
    <t>(3) ISSQN é um imposto que incide sobre o preço de serviço, em Campo Grande o valor é de 5%. O custo previsto com mão-de-obra é de 60% do custo total da obra, para o computo do ISSQN o valor será de 3%</t>
  </si>
  <si>
    <t>(2)CPRB = (Contribuição Previdenciária sobre a Receita Bruta – Lei n. 13.161 de 31/08/2015).</t>
  </si>
  <si>
    <t>I: taxa de incidência de impostos [ PIS, COFINS, (3) ISSQN, (2) CPRB ]</t>
  </si>
  <si>
    <t>L: taxa de lucro/remuneração;</t>
  </si>
  <si>
    <t xml:space="preserve">DF: taxa de despesas financeiras; </t>
  </si>
  <si>
    <t>G: taxa de garantias;</t>
  </si>
  <si>
    <t>R: taxa de riscos;</t>
  </si>
  <si>
    <t>S: taxa de seguros;</t>
  </si>
  <si>
    <t>AC: taxa de administração central;</t>
  </si>
  <si>
    <t>Onde:</t>
  </si>
  <si>
    <t>BDI calculado pela seguinte equação:</t>
  </si>
  <si>
    <t>BDI CALCULADO:</t>
  </si>
  <si>
    <t>CPRB (2):</t>
  </si>
  <si>
    <t>ISSQN(3):</t>
  </si>
  <si>
    <t>COFINS:</t>
  </si>
  <si>
    <t>PIS:</t>
  </si>
  <si>
    <t>I - IMPOSTOS</t>
  </si>
  <si>
    <t>L - Lucro</t>
  </si>
  <si>
    <t>DF - Despesas Financeiras</t>
  </si>
  <si>
    <t>R - Risco</t>
  </si>
  <si>
    <t>S + G - Seguro e Garantia</t>
  </si>
  <si>
    <t>AC - Administração Central</t>
  </si>
  <si>
    <t>BDI Adotado</t>
  </si>
  <si>
    <t>3° quartil</t>
  </si>
  <si>
    <t>Médio</t>
  </si>
  <si>
    <t>1° Quartil</t>
  </si>
  <si>
    <t>Item componente do BDI</t>
  </si>
  <si>
    <t>sem Desoneração</t>
  </si>
  <si>
    <t>LOCAL : RUAS, AVENIDAS, VIADUTOS, PRAÇAS, PRÓPRIOS MUNICIPAIS E DEMAIS ÁREAS PÚBLICAS, NA CIDADE DE CAMPO GRANDE/MS</t>
  </si>
  <si>
    <t>CONSTRUÇÃO  DE  MANUTENÇÃO DE ESTAÇÕES E REDE DE DISTRIBUIÇÃO DE ENERGIA ELÉTRICA</t>
  </si>
  <si>
    <t>Tipo de Serviço:</t>
  </si>
  <si>
    <t>OBRA : CONTRATAÇÃO DE EMPRESA ESPECIALIZADA NO SERVIÇO DE ENGENHARIA, PARA A IMPLANTAÇÃO DE ILUMINAÇÃO DECORATIVA NATALINA, COM FORNECIMENTO DE MATERIAIS</t>
  </si>
  <si>
    <t>COMPOSIÇÃO DE BDI - conforme Acórdão TCU 2622/2013</t>
  </si>
  <si>
    <t xml:space="preserve">SUPERINTENDÊNCIA DE PROJETOS - GERÊNCIA DE ORÇAMENTOS </t>
  </si>
  <si>
    <t>(2) Acrescido à alicota de imposto os Encargos Sociais sobre os itens da Obra (2%) Lei n° 12.844/2013.</t>
  </si>
  <si>
    <t>I: taxa de incidência de impostos [ PIS, COFINS, (3) ISSQN, (2) Encargos Sociais ]</t>
  </si>
  <si>
    <t>ENCARGOS SOCIAIS (2):</t>
  </si>
  <si>
    <t>FORNECIMENTO DE MATERIAS E EQUIPAMENTOS</t>
  </si>
  <si>
    <t>PROJETOR/REFLETOR DE LED 300 WATTS, BIVOLT, GRAU DE PROTEÇÃO MÍNIMO IP 65. COR: VERDE</t>
  </si>
  <si>
    <t>ITEM:</t>
  </si>
  <si>
    <t>ID PR EXCESSIVAMENTE ELEVADO (&gt;25%)</t>
  </si>
  <si>
    <t>ID PREÇOS INEXEQUIVEIS (&lt;75%)</t>
  </si>
  <si>
    <t>DATA</t>
  </si>
  <si>
    <t>EMPRESA</t>
  </si>
  <si>
    <t>VALORES</t>
  </si>
  <si>
    <t>MÉDIA DOS DEMAIS</t>
  </si>
  <si>
    <t>PERCENTUAL EM RELAÇÃO A MÉDIA DOS DEMAIS PREÇOS</t>
  </si>
  <si>
    <t>AVALIAÇÃO</t>
  </si>
  <si>
    <t xml:space="preserve">PERCENTUAL EM RELAÇÃO A MÉDIA DOS DEMAIS PREÇOS </t>
  </si>
  <si>
    <t xml:space="preserve">AVALIAÇÃO </t>
  </si>
  <si>
    <t xml:space="preserve">FORTLUX </t>
  </si>
  <si>
    <t>DN DECOR LTDA</t>
  </si>
  <si>
    <t>AUTOENG</t>
  </si>
  <si>
    <t>LIMITE SUPERIOR: significa que os custos não podem ser maiores que 25% da média dos demais.</t>
  </si>
  <si>
    <t>MÉDIA DE CALCULO:</t>
  </si>
  <si>
    <t>LIMITE INFERIOR: significa que os custos precisam representar valores maiores ou iguais a 75% da média dos demais.</t>
  </si>
  <si>
    <t>CRITERIO ADOTADO:</t>
  </si>
  <si>
    <t>ITEM2</t>
  </si>
  <si>
    <t>Item: Mangueira de Led Translúcida com 36 LEDS por metro na cor BRANCO QUENTE</t>
  </si>
  <si>
    <t>Item: Mangueira de led translúcida,fixa, com 36 leds por metro na cor verde</t>
  </si>
  <si>
    <t>Item: Mangueira de led translúcida,fixa,com 36 leds por metro na cor vermelho</t>
  </si>
  <si>
    <t>Item: Mangueira de led translúcida,fixa, com 36 leds por metro na cor azul</t>
  </si>
  <si>
    <t>Item: Mangueira de led translúcida,fixa,com 36 leds por metro na cor AMARELO</t>
  </si>
  <si>
    <t>Item: Mangueira de led translúcida,fixa,com 36 leds por metro na cor rosa</t>
  </si>
  <si>
    <t>Item: Cordão 100 leds, sendo 80 leds fixo na cor rosa e 20 leds estrobo na  cor branco frio,com fio verde, fiação de cobre</t>
  </si>
  <si>
    <t>Item: Cordão 120 leds sendo 90 leds fixos e 30 leds estrobo, branco frio com fio verde, fiação de cobre</t>
  </si>
  <si>
    <t>Item:  Refletor holofote LED Cor Branco Frio</t>
  </si>
  <si>
    <t xml:space="preserve">Item: Refletor holofote LED Cor Verde
</t>
  </si>
  <si>
    <t>Item: Cordão com 24 strobos na cor branco frio, com fio transparente</t>
  </si>
  <si>
    <t>CONSIDERA-SE 13,33 HORAS TRABALHADAS POR SEMANA PARA O ENCARREGADO. DE ACORDO COM O CRONOGRAMA, A OBRA SERÁ DE 12,85 SEMANAS, PORTANTO: 13,33,00 X 12,85 = 171,29 HORAS</t>
  </si>
  <si>
    <t>CONSIDERA-SE 13,33 HORAS TRABALHADAS POR SEMANA PARA O APONTADOR DE ACORDO COM O CRONOGRAMA, A OBRA SERÁ DE 12,85 SEMANAS, PORTANTO: 13,33 X 12,85 = 171,29 HORAS</t>
  </si>
  <si>
    <t xml:space="preserve">(VEÍCULO PARA O ENCARREGADO) CONSIDERA-SE 13,33 HORAS TRABALHADAS POR SEMANA PARA O ENCARREGADO. SENDO METADE DO TEMPO 6,66 HORAS NÃO UTILIZANDO O VEICULO. DE ACORDO COM O CRONOGRAMA, A OBRA SERÁ DE 12,85 SEMANAS, PORTANTO: 6,66 X 12,85 = 85,58 HORAS </t>
  </si>
  <si>
    <t>QUANTIDADE ESTIMADA COM AS ALOCAÇÕES DOS ENFEITES, UTILIZANDO APROXIMADAMENTE 15.592 METROS DE MANGUEIRA, TOTALIZANDO 156 ROLOS, CONFORME  MEMORIAL DESCRITIVO.</t>
  </si>
  <si>
    <t>QUANTIDADE ESTIMADA COM AS ALOCAÇÕES PREVISTAS NO MEMORIAL DESCRITIVO, INCLUINDO 302 REFLETORES VERDES E 7 REFLETORES BRANCO FRIO, TOTALIZANDO 309 UNIDADES.</t>
  </si>
  <si>
    <t>QUANTIDADE ESTIMADA COM AS ALOCAÇÕES PREVISTAS NAS ROTATÓRIAS, PRAÇA ARY COELHO E 14 DE JULHO, IMPLANTANDO APROXIMADAMENTE 43.564 METROS DE MANGUEIRA, TOTALIZANDO 436 ROLOS, CONFORME MEMORIAL DESCRITIVO.</t>
  </si>
  <si>
    <t xml:space="preserve">CONSIDERA-SE A UTILIZAÇÃO DE 16,57 M DE CABO PARA INSTALAÇÃO DE CADA ROLO DE MANGUEIRA DE LED. SERÃO INSTALADOS 1.079 ROLOS, CONFORME MEMORIAL DESCRITIVO, PORTANTO: 1.079 x 16,57 = 17.879,03 METROS. </t>
  </si>
  <si>
    <t>CONSIDERANDO TODAS AS INSTALAÇÕES DESCRITAS NO MEMORIAL DESCRITIVO, TOTALIZA A UTILIZAÇÃO DE 12.960 METROS, CADA ROLO POSSUI 10 METROS DE CORDÃO, TOTALIZANDO 1.296 CAIXAS.</t>
  </si>
  <si>
    <t>CONSIDERA-SE A UTILIZAÇÃO DE 2 ABRAÇADEIRAS POR METRO DE MANGUEIRA E CORDÃO INSTALADO. COMO SERÃO INSTALADOS 126.851,20 METROS DE MANGUEIRA E CORDÃO, CONFORME MEMORIAL DESCRITIVO. PORTANTO: 126.851,20 x 2 = 253.702,40</t>
  </si>
  <si>
    <t>Total por Etapa</t>
  </si>
  <si>
    <t>INSTALAÇÃO E DESINSTALAÇÃO DE DESCIDA DE MANGUEIRA LUMINOSA LED 100 MTS ACIMA DE 12 A 22 M DE ALTURA - FORNECIMENTO E INSTALAÇÃO</t>
  </si>
  <si>
    <r>
      <rPr>
        <b/>
        <sz val="7.5"/>
        <color theme="1"/>
        <rFont val="Calibri"/>
        <family val="2"/>
        <scheme val="minor"/>
      </rPr>
      <t>DESVIO PADRÃO</t>
    </r>
    <r>
      <rPr>
        <sz val="7.5"/>
        <color theme="1"/>
        <rFont val="Calibri"/>
        <family val="2"/>
        <scheme val="minor"/>
      </rPr>
      <t>:</t>
    </r>
  </si>
  <si>
    <r>
      <rPr>
        <b/>
        <sz val="7.5"/>
        <color theme="1"/>
        <rFont val="Calibri"/>
        <family val="2"/>
        <scheme val="minor"/>
      </rPr>
      <t>COEF.DE VARIAÇÃO</t>
    </r>
    <r>
      <rPr>
        <sz val="7.5"/>
        <color theme="1"/>
        <rFont val="Calibri"/>
        <family val="2"/>
        <scheme val="minor"/>
      </rPr>
      <t xml:space="preserve"> VAR≤25%(MÉDIA)|VAR&gt;25%(MEDIANA):</t>
    </r>
  </si>
  <si>
    <r>
      <t>Mangueira de led translúcida com 36 leds por metro na</t>
    </r>
    <r>
      <rPr>
        <b/>
        <sz val="7.5"/>
        <color theme="1"/>
        <rFont val="Calibri"/>
        <family val="2"/>
        <scheme val="minor"/>
      </rPr>
      <t xml:space="preserve"> cor branco
quente</t>
    </r>
  </si>
  <si>
    <r>
      <rPr>
        <b/>
        <sz val="7.5"/>
        <color theme="1"/>
        <rFont val="Calibri"/>
        <family val="2"/>
        <scheme val="minor"/>
      </rPr>
      <t xml:space="preserve">JUSTIFICATIVA: </t>
    </r>
    <r>
      <rPr>
        <sz val="7.5"/>
        <color theme="1"/>
        <rFont val="Calibri"/>
        <family val="2"/>
        <scheme val="minor"/>
      </rPr>
      <t>ORÇAMENTO ADOTADO UTILIZARÁ ENCARGOS SOCIAIS NÃO DESONERADOS, POR SER O DE MENOR CUSTO, SENDO ESTA ALTERNATIVA A MAIS VANTAJOSA PARA A ADMINISTRAÇÃO PÚBLICA.</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</si>
  <si>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BRANCO QUENTE.</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</si>
  <si>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AZUL.</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</si>
  <si>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VERDE.</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</si>
  <si>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VERMELHO.</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</si>
  <si>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AMARELO.</t>
    </r>
  </si>
  <si>
    <r>
      <t xml:space="preserve">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t>
    </r>
    <r>
      <rPr>
        <b/>
        <sz val="10"/>
        <color theme="1"/>
        <rFont val="Calibri"/>
        <family val="2"/>
        <scheme val="minor"/>
      </rPr>
      <t>NA COR ROSA.</t>
    </r>
  </si>
  <si>
    <t>BDI MATERIAL:</t>
  </si>
  <si>
    <t xml:space="preserve">(VEÍCULO PARA O ENCARREGADO) CONSIDERA-SE 13,33 HORAS TRABALHADAS POR SEMANA PARA O ENCARREGADO. SENDO METADE DO TEMPO 6,66 HORAS UTILIZANDO O VEICULO. DE ACORDO COM O CRONOGRAMA, A OBRA SERÁ DE 12,85 SEMANAS, PORTANTO: 6,66 X 12,85 = 85,58 HORAS </t>
  </si>
  <si>
    <t>CONSIDERA-SE A UTILIZAÇÃO DE 11,25 M DE CABO PARA INSTALAÇÃO DE CADA REFLETOR LED. SERÃO INSTALADOS 309 REFLETORES, CONFORME MEMORIAL DESCRITIVO. PORTANTO: 309 x 11,25 = 3.476,25 METROS.</t>
  </si>
  <si>
    <t>CONSIDERA-SE A UTILIZAÇÃO DE 3,25 M DE CABO PARA INSTALAÇÃO DE CADA CORDÃO LUMINOSO. SERÃO INSTALADOS 1.904 CORDÕES, CONFORME MEMORIAL DESCRITIVO. PORTANTO: 1.904 x 3,25 = 6.188 METROS.</t>
  </si>
  <si>
    <t>MONTADOR DE ESTRUTURAS METÁLICAS COM ENCARGOS COMPLEMENTARES</t>
  </si>
  <si>
    <t>QUANTIDADE DE ESTRUTURAS SENDO 321 ENFEITES INSTALADOS NA RUA 14 DE JULHO E 827 ENFEITES COM ALOCAÇÕES DIVERSAS PREVISTAS NO MEMORIAL DESCRITIVO, TOTALIZANDO 321 + 827 = 1.148 UNIDADES PREVISTAS NO MEMORIAL DESCRITIVO</t>
  </si>
  <si>
    <t>CONSIDERA-SE A UTILIZAÇÃO DE 1,5 METROS DE FITA ISOLANTE PARA CADA INSTALAÇÃO ELÉTRICA. SERÃO REALIZADAS 4.440 INSTALAÇÕES, INCLUINDO 1.079 ROLOS DE MANGUEIRA, 1.904 CORDÕES, 309 REFLETORES E 1.148 ESTRUTURAS METÁLICAS, CONFORME MEMORIAL DESCRITIVO. PORTANTO TOTALIZANDO 4.440 x 1,5 = 6.660 METROS. COMO CADA ROLO POSSUI 20 METROS: 6.660 ÷ 20 = 333 UNIDADES</t>
  </si>
  <si>
    <t>CONSIDERA-SE A UTILIZAÇÃO DE 0,30 KG DE AÇO CA-25 PARA CADA INSTALAÇÃO. SERÃO REALIZADAS 4.440 INSTALAÇÕES, INCLUINDO 1.079 ROLOS DE MANGUEIRA, 1.904 CORDÕES, 309 REFLETORES E 1.148 ESTRUTURAS METÁLICAS, CONFORME MEMORIAL DESCRITIVO. PORTANTO: 0,30 x 4.440 = 1.332 KG.</t>
  </si>
  <si>
    <t>CONSIDERA-SE A UTILIZAÇÃO DE 30 METROS DE ARAME RECOZIDO PARA CADA INSTALAÇÃO. SERÃO REALIZADAS 4.440 INSTALAÇÕES, INCLUINDO 1.079 ROLOS DE MANGUEIRA, 1.904 CORDÕES, 309 REFLETORES E 1.148 ESTRUTURAS METÁLICAS, CONFORME MEMORIAL DESCRITIVO. PORTANTO: (30 x 0,016) x 4.440 = 2131,20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</si>
</sst>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0.00\ %"/>
    <numFmt numFmtId="165" formatCode="0.000%"/>
    <numFmt numFmtId="166" formatCode="#,##0.000_);\(#,##0.000\)"/>
    <numFmt numFmtId="167" formatCode="_-[$R$-416]\ * #,##0.00_-;\-[$R$-416]\ * #,##0.00_-;_-[$R$-416]\ * &quot;-&quot;??_-;_-@_-"/>
    <numFmt numFmtId="168" formatCode="&quot;R$&quot;\ #,##0.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ourier"/>
      <family val="3"/>
    </font>
    <font>
      <b/>
      <sz val="11"/>
      <name val="Calibri"/>
      <family val="2"/>
      <scheme val="minor"/>
    </font>
    <font>
      <sz val="10"/>
      <name val="Calibri"/>
      <family val="2"/>
      <scheme val="minor"/>
    </font>
    <font>
      <b/>
      <sz val="12"/>
      <color theme="1"/>
      <name val="Calibri"/>
      <family val="2"/>
      <scheme val="minor"/>
    </font>
    <font>
      <sz val="11"/>
      <name val="Arial"/>
      <family val="1"/>
    </font>
    <font>
      <sz val="10"/>
      <color indexed="8"/>
      <name val="Arial"/>
      <family val="1"/>
      <charset val="204"/>
    </font>
    <font>
      <b/>
      <sz val="10"/>
      <color indexed="8"/>
      <name val="Arial"/>
      <family val="2"/>
    </font>
    <font>
      <sz val="10"/>
      <name val="Times New Roman"/>
      <family val="1"/>
      <charset val="204"/>
    </font>
    <font>
      <b/>
      <sz val="10"/>
      <color indexed="8"/>
      <name val="Arial"/>
      <family val="1"/>
      <charset val="204"/>
    </font>
    <font>
      <b/>
      <sz val="9"/>
      <color indexed="8"/>
      <name val="Arial"/>
      <family val="1"/>
      <charset val="204"/>
    </font>
    <font>
      <sz val="9"/>
      <color theme="1"/>
      <name val="Arial"/>
      <family val="2"/>
    </font>
    <font>
      <sz val="9"/>
      <name val="Arial"/>
      <family val="2"/>
    </font>
    <font>
      <sz val="9"/>
      <color indexed="8"/>
      <name val="Arial"/>
      <family val="2"/>
    </font>
    <font>
      <b/>
      <sz val="9"/>
      <color indexed="8"/>
      <name val="Arial"/>
      <family val="2"/>
    </font>
    <font>
      <sz val="10"/>
      <color indexed="8"/>
      <name val="Calibri"/>
      <family val="2"/>
      <scheme val="minor"/>
    </font>
    <font>
      <sz val="11"/>
      <color indexed="8"/>
      <name val="Calibri"/>
      <family val="2"/>
    </font>
    <font>
      <sz val="10"/>
      <color indexed="8"/>
      <name val="Arial"/>
      <family val="2"/>
    </font>
    <font>
      <sz val="10"/>
      <name val="Arial"/>
      <family val="2"/>
    </font>
    <font>
      <sz val="7"/>
      <name val="Arial"/>
      <family val="2"/>
    </font>
    <font>
      <sz val="11"/>
      <name val="Arial"/>
      <family val="2"/>
    </font>
    <font>
      <b/>
      <sz val="7.5"/>
      <name val="Arial"/>
      <family val="1"/>
    </font>
    <font>
      <b/>
      <sz val="7.5"/>
      <color rgb="FF000000"/>
      <name val="Arial"/>
      <family val="1"/>
    </font>
    <font>
      <sz val="7.5"/>
      <color rgb="FF000000"/>
      <name val="Arial"/>
      <family val="1"/>
    </font>
    <font>
      <sz val="7.5"/>
      <name val="Arial"/>
      <family val="1"/>
    </font>
    <font>
      <sz val="7.5"/>
      <color theme="1"/>
      <name val="Calibri"/>
      <family val="2"/>
      <scheme val="minor"/>
    </font>
    <font>
      <b/>
      <sz val="7.5"/>
      <name val="Calibri"/>
      <family val="2"/>
      <scheme val="minor"/>
    </font>
    <font>
      <sz val="7.5"/>
      <name val="Calibri"/>
      <family val="2"/>
      <scheme val="minor"/>
    </font>
    <font>
      <b/>
      <sz val="7.5"/>
      <color theme="1"/>
      <name val="Calibri"/>
      <family val="2"/>
      <scheme val="minor"/>
    </font>
    <font>
      <sz val="7.5"/>
      <name val="Arial"/>
      <family val="2"/>
    </font>
    <font>
      <sz val="7.5"/>
      <color rgb="FF000000"/>
      <name val="Arial"/>
      <family val="2"/>
    </font>
    <font>
      <b/>
      <sz val="7.5"/>
      <color rgb="FF000000"/>
      <name val="Arial"/>
      <family val="2"/>
    </font>
    <font>
      <sz val="7.5"/>
      <color theme="0"/>
      <name val="Calibri"/>
      <family val="2"/>
      <scheme val="minor"/>
    </font>
    <font>
      <sz val="7.5"/>
      <color rgb="FF0070C0"/>
      <name val="Calibri"/>
      <family val="2"/>
      <scheme val="minor"/>
    </font>
    <font>
      <i/>
      <sz val="7.5"/>
      <color theme="1"/>
      <name val="Calibri"/>
      <family val="2"/>
      <scheme val="minor"/>
    </font>
    <font>
      <sz val="7.5"/>
      <color theme="8" tint="0.79998168889431442"/>
      <name val="Calibri"/>
      <family val="2"/>
      <scheme val="minor"/>
    </font>
    <font>
      <sz val="7.5"/>
      <color rgb="FF000000"/>
      <name val="Calibri"/>
      <family val="2"/>
      <scheme val="minor"/>
    </font>
    <font>
      <sz val="7.5"/>
      <color rgb="FFFF0000"/>
      <name val="Calibri"/>
      <family val="2"/>
      <scheme val="minor"/>
    </font>
    <font>
      <b/>
      <sz val="7.5"/>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patternFill>
    </fill>
    <fill>
      <patternFill patternType="solid">
        <fgColor theme="0"/>
        <bgColor rgb="FFFFFFFF"/>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rgb="FF000000"/>
      </patternFill>
    </fill>
    <fill>
      <patternFill patternType="solid">
        <fgColor theme="6" tint="0.39997558519241921"/>
        <bgColor indexed="64"/>
      </patternFill>
    </fill>
    <fill>
      <patternFill patternType="solid">
        <fgColor theme="0" tint="-0.14999847407452621"/>
        <bgColor indexed="64"/>
      </patternFill>
    </fill>
    <fill>
      <patternFill patternType="solid">
        <fgColor rgb="FFD8ECF6"/>
        <bgColor rgb="FF000000"/>
      </patternFill>
    </fill>
    <fill>
      <patternFill patternType="solid">
        <fgColor rgb="FFD8ECF6"/>
      </patternFill>
    </fill>
    <fill>
      <patternFill patternType="solid">
        <fgColor rgb="FFFFFFFF"/>
        <bgColor rgb="FF000000"/>
      </patternFill>
    </fill>
    <fill>
      <patternFill patternType="solid">
        <fgColor theme="4" tint="0.59999389629810485"/>
        <bgColor rgb="FF000000"/>
      </patternFill>
    </fill>
    <fill>
      <patternFill patternType="solid">
        <fgColor rgb="FFFFFF0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BEBEBE"/>
        <bgColor indexed="64"/>
      </patternFill>
    </fill>
    <fill>
      <patternFill patternType="solid">
        <fgColor theme="4"/>
        <bgColor indexed="64"/>
      </patternFill>
    </fill>
    <fill>
      <patternFill patternType="solid">
        <fgColor theme="4" tint="0.79998168889431442"/>
        <bgColor indexed="64"/>
      </patternFill>
    </fill>
    <fill>
      <patternFill patternType="solid">
        <fgColor rgb="FFFF0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bottom style="dashed">
        <color indexed="64"/>
      </bottom>
      <diagonal/>
    </border>
    <border>
      <left style="thin">
        <color rgb="FFCCCCCC"/>
      </left>
      <right style="thin">
        <color rgb="FFCCCCCC"/>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right/>
      <top style="medium">
        <color auto="1"/>
      </top>
      <bottom/>
      <diagonal/>
    </border>
    <border>
      <left style="medium">
        <color auto="1"/>
      </left>
      <right/>
      <top style="medium">
        <color auto="1"/>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medium">
        <color indexed="64"/>
      </right>
      <top/>
      <bottom style="thin">
        <color rgb="FF000000"/>
      </bottom>
      <diagonal/>
    </border>
    <border>
      <left style="hair">
        <color rgb="FF000000"/>
      </left>
      <right style="medium">
        <color indexed="64"/>
      </right>
      <top style="thin">
        <color rgb="FF000000"/>
      </top>
      <bottom style="hair">
        <color rgb="FF000000"/>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style="hair">
        <color rgb="FF000000"/>
      </top>
      <bottom style="thin">
        <color rgb="FF000000"/>
      </bottom>
      <diagonal/>
    </border>
    <border>
      <left/>
      <right/>
      <top/>
      <bottom style="double">
        <color indexed="64"/>
      </bottom>
      <diagonal/>
    </border>
    <border>
      <left style="double">
        <color auto="1"/>
      </left>
      <right/>
      <top style="double">
        <color auto="1"/>
      </top>
      <bottom style="thin">
        <color theme="0"/>
      </bottom>
      <diagonal/>
    </border>
    <border>
      <left/>
      <right/>
      <top style="double">
        <color auto="1"/>
      </top>
      <bottom style="thin">
        <color theme="0"/>
      </bottom>
      <diagonal/>
    </border>
    <border>
      <left/>
      <right style="thin">
        <color theme="0"/>
      </right>
      <top style="double">
        <color auto="1"/>
      </top>
      <bottom style="thin">
        <color theme="0"/>
      </bottom>
      <diagonal/>
    </border>
    <border>
      <left style="thin">
        <color theme="0"/>
      </left>
      <right/>
      <top style="double">
        <color auto="1"/>
      </top>
      <bottom style="thin">
        <color theme="0"/>
      </bottom>
      <diagonal/>
    </border>
    <border>
      <left/>
      <right style="double">
        <color theme="0"/>
      </right>
      <top style="double">
        <color auto="1"/>
      </top>
      <bottom style="thin">
        <color theme="0"/>
      </bottom>
      <diagonal/>
    </border>
    <border>
      <left/>
      <right style="double">
        <color auto="1"/>
      </right>
      <top style="double">
        <color auto="1"/>
      </top>
      <bottom style="thin">
        <color theme="0"/>
      </bottom>
      <diagonal/>
    </border>
    <border>
      <left style="double">
        <color auto="1"/>
      </left>
      <right/>
      <top/>
      <bottom/>
      <diagonal/>
    </border>
    <border>
      <left/>
      <right style="double">
        <color theme="0"/>
      </right>
      <top/>
      <bottom/>
      <diagonal/>
    </border>
    <border>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theme="0"/>
      </left>
      <right/>
      <top/>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auto="1"/>
      </right>
      <top style="thin">
        <color indexed="64"/>
      </top>
      <bottom style="thin">
        <color auto="1"/>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6" fillId="0" borderId="0"/>
    <xf numFmtId="0" fontId="10" fillId="0" borderId="0"/>
    <xf numFmtId="0" fontId="10" fillId="0" borderId="0"/>
    <xf numFmtId="0" fontId="21" fillId="0" borderId="0"/>
    <xf numFmtId="0" fontId="23"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568">
    <xf numFmtId="0" fontId="0" fillId="0" borderId="0" xfId="0"/>
    <xf numFmtId="0" fontId="0" fillId="2" borderId="0" xfId="0" applyFill="1" applyBorder="1" applyAlignment="1">
      <alignment horizontal="left" vertical="center" wrapText="1"/>
    </xf>
    <xf numFmtId="0" fontId="0" fillId="2" borderId="0" xfId="0" applyFill="1" applyBorder="1" applyAlignment="1">
      <alignment vertical="center" wrapText="1"/>
    </xf>
    <xf numFmtId="0" fontId="2" fillId="7"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 fillId="7" borderId="0" xfId="0" applyFont="1" applyFill="1" applyBorder="1" applyAlignment="1">
      <alignment horizontal="left" vertical="center" wrapText="1"/>
    </xf>
    <xf numFmtId="0" fontId="4" fillId="7" borderId="0" xfId="0" applyFont="1" applyFill="1" applyBorder="1" applyAlignment="1">
      <alignment horizontal="left" vertical="center" wrapText="1"/>
    </xf>
    <xf numFmtId="0" fontId="2" fillId="7" borderId="0" xfId="0" applyFont="1" applyFill="1" applyBorder="1" applyAlignment="1">
      <alignment horizontal="right" vertical="center" wrapText="1"/>
    </xf>
    <xf numFmtId="0" fontId="0" fillId="2" borderId="0" xfId="0" applyFill="1" applyBorder="1" applyAlignment="1">
      <alignment horizontal="center" vertical="center" wrapText="1"/>
    </xf>
    <xf numFmtId="0" fontId="0" fillId="2" borderId="8" xfId="0"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9" fillId="0" borderId="0" xfId="0" applyFont="1"/>
    <xf numFmtId="44" fontId="9" fillId="8" borderId="1" xfId="1" applyFont="1" applyFill="1" applyBorder="1" applyAlignment="1">
      <alignment horizontal="center" vertical="center"/>
    </xf>
    <xf numFmtId="44" fontId="0" fillId="0" borderId="1" xfId="1" applyFont="1" applyBorder="1" applyAlignment="1">
      <alignment horizontal="center" vertical="center"/>
    </xf>
    <xf numFmtId="2" fontId="4" fillId="0" borderId="1" xfId="5"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top" wrapText="1"/>
    </xf>
    <xf numFmtId="0" fontId="3" fillId="9" borderId="1" xfId="5" applyFont="1" applyFill="1" applyBorder="1" applyAlignment="1">
      <alignment horizontal="center" vertical="center" wrapText="1"/>
    </xf>
    <xf numFmtId="0" fontId="11" fillId="16" borderId="0" xfId="0" applyFont="1" applyFill="1" applyAlignment="1">
      <alignment horizontal="left" vertical="top"/>
    </xf>
    <xf numFmtId="0" fontId="12" fillId="16" borderId="0" xfId="0" applyFont="1" applyFill="1" applyAlignment="1">
      <alignment horizontal="left" vertical="top"/>
    </xf>
    <xf numFmtId="0" fontId="0" fillId="0" borderId="0" xfId="0" applyAlignment="1">
      <alignment vertical="center"/>
    </xf>
    <xf numFmtId="0" fontId="13" fillId="0" borderId="0" xfId="0" applyFont="1" applyAlignment="1">
      <alignment vertical="center" wrapText="1"/>
    </xf>
    <xf numFmtId="10" fontId="14" fillId="6" borderId="19" xfId="2" applyNumberFormat="1" applyFont="1" applyFill="1" applyBorder="1" applyAlignment="1">
      <alignment horizontal="center" vertical="center"/>
    </xf>
    <xf numFmtId="0" fontId="16" fillId="0" borderId="0" xfId="0" applyFont="1"/>
    <xf numFmtId="0" fontId="17" fillId="0" borderId="0" xfId="0" applyFont="1" applyAlignment="1">
      <alignment vertical="top" wrapText="1"/>
    </xf>
    <xf numFmtId="0" fontId="18" fillId="16" borderId="23" xfId="0" applyFont="1" applyFill="1" applyBorder="1" applyAlignment="1">
      <alignment horizontal="right"/>
    </xf>
    <xf numFmtId="0" fontId="18" fillId="16" borderId="24" xfId="0" applyFont="1" applyFill="1" applyBorder="1" applyAlignment="1">
      <alignment horizontal="center"/>
    </xf>
    <xf numFmtId="0" fontId="19" fillId="16" borderId="25" xfId="0" applyFont="1" applyFill="1" applyBorder="1" applyAlignment="1">
      <alignment horizontal="right" wrapText="1"/>
    </xf>
    <xf numFmtId="0" fontId="13" fillId="0" borderId="0" xfId="0" applyFont="1" applyAlignment="1">
      <alignment vertical="top" wrapText="1"/>
    </xf>
    <xf numFmtId="10" fontId="12" fillId="6" borderId="22" xfId="2" applyNumberFormat="1" applyFont="1" applyFill="1" applyBorder="1" applyAlignment="1">
      <alignment horizontal="center"/>
    </xf>
    <xf numFmtId="0" fontId="11" fillId="6" borderId="26" xfId="0" applyFont="1" applyFill="1" applyBorder="1" applyAlignment="1">
      <alignment horizontal="center"/>
    </xf>
    <xf numFmtId="0" fontId="15" fillId="6" borderId="27" xfId="0" applyFont="1" applyFill="1" applyBorder="1" applyAlignment="1">
      <alignment horizontal="left" wrapText="1"/>
    </xf>
    <xf numFmtId="10" fontId="11" fillId="16" borderId="26" xfId="2" applyNumberFormat="1" applyFont="1" applyFill="1" applyBorder="1" applyAlignment="1">
      <alignment horizontal="center"/>
    </xf>
    <xf numFmtId="0" fontId="15" fillId="16" borderId="27" xfId="0" applyFont="1" applyFill="1" applyBorder="1" applyAlignment="1">
      <alignment horizontal="left"/>
    </xf>
    <xf numFmtId="0" fontId="14" fillId="17" borderId="28" xfId="0" applyFont="1" applyFill="1" applyBorder="1" applyAlignment="1">
      <alignment horizontal="center" vertical="center"/>
    </xf>
    <xf numFmtId="0" fontId="14" fillId="17" borderId="29" xfId="0" applyFont="1" applyFill="1" applyBorder="1" applyAlignment="1">
      <alignment horizontal="center" vertical="center"/>
    </xf>
    <xf numFmtId="0" fontId="15" fillId="17" borderId="30" xfId="0" applyFont="1" applyFill="1" applyBorder="1" applyAlignment="1">
      <alignment horizontal="left" vertical="center"/>
    </xf>
    <xf numFmtId="0" fontId="8" fillId="0" borderId="0" xfId="0" applyFont="1" applyAlignment="1">
      <alignment vertical="top" wrapText="1"/>
    </xf>
    <xf numFmtId="0" fontId="22" fillId="0" borderId="0" xfId="7" applyFont="1" applyAlignment="1" applyProtection="1">
      <alignment horizontal="center" vertical="center"/>
      <protection hidden="1"/>
    </xf>
    <xf numFmtId="0" fontId="5" fillId="2" borderId="0" xfId="0" applyFont="1" applyFill="1" applyAlignment="1">
      <alignment vertical="center"/>
    </xf>
    <xf numFmtId="10" fontId="18" fillId="0" borderId="22" xfId="2" applyNumberFormat="1" applyFont="1" applyFill="1" applyBorder="1" applyAlignment="1">
      <alignment horizontal="center"/>
    </xf>
    <xf numFmtId="10" fontId="11" fillId="0" borderId="22" xfId="2" applyNumberFormat="1" applyFont="1" applyFill="1" applyBorder="1" applyAlignment="1">
      <alignment horizontal="center"/>
    </xf>
    <xf numFmtId="0" fontId="8" fillId="0" borderId="0" xfId="0" applyFont="1" applyBorder="1" applyAlignment="1">
      <alignment horizontal="left" vertical="center" wrapText="1"/>
    </xf>
    <xf numFmtId="0" fontId="20" fillId="16" borderId="0" xfId="0" applyFont="1" applyFill="1" applyBorder="1" applyAlignment="1">
      <alignment horizontal="left" vertical="top" wrapText="1"/>
    </xf>
    <xf numFmtId="49" fontId="8" fillId="2" borderId="6" xfId="4" applyNumberFormat="1"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0" xfId="0" applyFont="1" applyFill="1" applyBorder="1" applyAlignment="1">
      <alignment vertical="center" wrapText="1"/>
    </xf>
    <xf numFmtId="10" fontId="1" fillId="7" borderId="42" xfId="0" applyNumberFormat="1" applyFont="1" applyFill="1" applyBorder="1" applyAlignment="1">
      <alignment horizontal="left" vertical="center" wrapText="1"/>
    </xf>
    <xf numFmtId="0" fontId="0" fillId="2" borderId="0" xfId="0" applyFill="1" applyBorder="1" applyAlignment="1">
      <alignment horizontal="center" vertical="center" wrapText="1"/>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0" fillId="2" borderId="42" xfId="0" applyFill="1" applyBorder="1" applyAlignment="1">
      <alignment horizontal="left" vertical="center" wrapText="1"/>
    </xf>
    <xf numFmtId="49" fontId="8" fillId="2" borderId="42" xfId="4" applyNumberFormat="1" applyFont="1" applyFill="1" applyBorder="1" applyAlignment="1">
      <alignment horizontal="left" vertical="center" wrapText="1"/>
    </xf>
    <xf numFmtId="0" fontId="0" fillId="7" borderId="0" xfId="0" applyFill="1" applyBorder="1" applyAlignment="1">
      <alignment vertical="center" wrapText="1"/>
    </xf>
    <xf numFmtId="0" fontId="0" fillId="7" borderId="42" xfId="0" applyFill="1" applyBorder="1" applyAlignment="1">
      <alignment horizontal="left" vertical="center" wrapText="1"/>
    </xf>
    <xf numFmtId="0" fontId="0" fillId="0" borderId="9" xfId="0" applyBorder="1" applyAlignment="1">
      <alignment horizontal="center" vertical="center"/>
    </xf>
    <xf numFmtId="0" fontId="0" fillId="0" borderId="41" xfId="0" applyBorder="1"/>
    <xf numFmtId="0" fontId="0" fillId="0" borderId="6" xfId="0" applyBorder="1" applyAlignment="1">
      <alignment horizontal="center" vertical="center"/>
    </xf>
    <xf numFmtId="0" fontId="0" fillId="0" borderId="42" xfId="0" applyBorder="1"/>
    <xf numFmtId="0" fontId="0" fillId="0" borderId="0" xfId="0" applyBorder="1"/>
    <xf numFmtId="0" fontId="3" fillId="9" borderId="7" xfId="5" applyFont="1" applyFill="1" applyBorder="1" applyAlignment="1">
      <alignment horizontal="center" vertical="center" wrapText="1"/>
    </xf>
    <xf numFmtId="0" fontId="3" fillId="9" borderId="43" xfId="5" applyFont="1" applyFill="1" applyBorder="1" applyAlignment="1">
      <alignment horizontal="center" vertical="center" wrapText="1"/>
    </xf>
    <xf numFmtId="0" fontId="0" fillId="0" borderId="7" xfId="0" applyBorder="1" applyAlignment="1">
      <alignment vertical="center"/>
    </xf>
    <xf numFmtId="44" fontId="9" fillId="8" borderId="43" xfId="1" applyFont="1" applyFill="1" applyBorder="1" applyAlignment="1">
      <alignment horizontal="center" vertical="center"/>
    </xf>
    <xf numFmtId="0" fontId="0" fillId="0" borderId="48" xfId="0" applyBorder="1" applyAlignment="1">
      <alignment vertical="center"/>
    </xf>
    <xf numFmtId="0" fontId="0" fillId="0" borderId="49" xfId="0" applyBorder="1" applyAlignment="1">
      <alignment vertical="top" wrapText="1"/>
    </xf>
    <xf numFmtId="0" fontId="0" fillId="0" borderId="49" xfId="0" applyBorder="1" applyAlignment="1">
      <alignment horizontal="center" vertical="center"/>
    </xf>
    <xf numFmtId="2" fontId="4" fillId="0" borderId="49" xfId="5" applyNumberFormat="1" applyFont="1" applyBorder="1" applyAlignment="1">
      <alignment horizontal="center" vertical="center" wrapText="1"/>
    </xf>
    <xf numFmtId="44" fontId="0" fillId="0" borderId="49" xfId="1" applyFont="1" applyBorder="1" applyAlignment="1">
      <alignment horizontal="center" vertical="center"/>
    </xf>
    <xf numFmtId="44" fontId="9" fillId="8" borderId="49" xfId="1" applyFont="1" applyFill="1" applyBorder="1" applyAlignment="1">
      <alignment horizontal="center" vertical="center"/>
    </xf>
    <xf numFmtId="44" fontId="9" fillId="8" borderId="50" xfId="1" applyFont="1" applyFill="1" applyBorder="1" applyAlignment="1">
      <alignment horizontal="center" vertical="center"/>
    </xf>
    <xf numFmtId="0" fontId="4" fillId="0" borderId="0" xfId="0" applyFont="1" applyBorder="1"/>
    <xf numFmtId="0" fontId="4" fillId="0" borderId="42" xfId="0" applyFont="1" applyBorder="1"/>
    <xf numFmtId="0" fontId="0" fillId="0" borderId="6" xfId="0" applyBorder="1"/>
    <xf numFmtId="0" fontId="8" fillId="0" borderId="0" xfId="0" applyFont="1" applyBorder="1" applyAlignment="1">
      <alignment vertical="top" wrapText="1"/>
    </xf>
    <xf numFmtId="0" fontId="5" fillId="0" borderId="42" xfId="0" applyFont="1" applyBorder="1" applyAlignment="1">
      <alignment vertical="top" wrapText="1"/>
    </xf>
    <xf numFmtId="0" fontId="20" fillId="16" borderId="0" xfId="0" applyFont="1" applyFill="1" applyBorder="1" applyAlignment="1">
      <alignment horizontal="left" vertical="top"/>
    </xf>
    <xf numFmtId="0" fontId="14" fillId="17" borderId="59" xfId="0" applyFont="1" applyFill="1" applyBorder="1" applyAlignment="1">
      <alignment horizontal="center" vertical="center"/>
    </xf>
    <xf numFmtId="10" fontId="11" fillId="0" borderId="60" xfId="2" applyNumberFormat="1" applyFont="1" applyBorder="1" applyAlignment="1">
      <alignment horizontal="center"/>
    </xf>
    <xf numFmtId="10" fontId="12" fillId="6" borderId="60" xfId="2" applyNumberFormat="1" applyFont="1" applyFill="1" applyBorder="1" applyAlignment="1">
      <alignment horizontal="center"/>
    </xf>
    <xf numFmtId="0" fontId="16" fillId="0" borderId="6" xfId="0" applyFont="1" applyBorder="1"/>
    <xf numFmtId="10" fontId="18" fillId="0" borderId="60" xfId="2" applyNumberFormat="1" applyFont="1" applyBorder="1" applyAlignment="1">
      <alignment horizontal="center"/>
    </xf>
    <xf numFmtId="0" fontId="0" fillId="0" borderId="6" xfId="0" applyBorder="1" applyAlignment="1">
      <alignment vertical="center"/>
    </xf>
    <xf numFmtId="10" fontId="14" fillId="6" borderId="61" xfId="2" applyNumberFormat="1" applyFont="1" applyFill="1" applyBorder="1" applyAlignment="1">
      <alignment horizontal="center" vertical="center"/>
    </xf>
    <xf numFmtId="0" fontId="12" fillId="16" borderId="0" xfId="0" applyFont="1" applyFill="1" applyBorder="1" applyAlignment="1">
      <alignment horizontal="left" vertical="top"/>
    </xf>
    <xf numFmtId="0" fontId="11" fillId="16" borderId="0" xfId="0" applyFont="1" applyFill="1" applyBorder="1" applyAlignment="1">
      <alignment horizontal="left" vertical="top"/>
    </xf>
    <xf numFmtId="0" fontId="0" fillId="0" borderId="46" xfId="0" applyBorder="1"/>
    <xf numFmtId="0" fontId="3" fillId="7" borderId="0" xfId="0" applyFont="1" applyFill="1" applyBorder="1" applyAlignment="1">
      <alignment horizontal="right" vertical="center" wrapText="1"/>
    </xf>
    <xf numFmtId="0" fontId="27" fillId="6"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4" fontId="28" fillId="3" borderId="49" xfId="0" applyNumberFormat="1" applyFont="1" applyFill="1" applyBorder="1" applyAlignment="1">
      <alignment horizontal="center" vertical="center" wrapText="1"/>
    </xf>
    <xf numFmtId="0" fontId="2" fillId="0" borderId="1" xfId="0" applyFont="1" applyBorder="1" applyAlignment="1">
      <alignment horizontal="center" vertical="center"/>
    </xf>
    <xf numFmtId="168" fontId="2" fillId="0" borderId="1" xfId="0" applyNumberFormat="1" applyFont="1" applyBorder="1" applyAlignment="1">
      <alignment horizontal="center" vertical="center"/>
    </xf>
    <xf numFmtId="0" fontId="2" fillId="0" borderId="78" xfId="0" applyFont="1" applyBorder="1" applyAlignment="1">
      <alignment horizontal="center" vertical="center"/>
    </xf>
    <xf numFmtId="0" fontId="2" fillId="0" borderId="0" xfId="0" applyFont="1" applyAlignment="1">
      <alignment horizontal="center" vertical="center"/>
    </xf>
    <xf numFmtId="9" fontId="0" fillId="0" borderId="1" xfId="2" applyFont="1" applyBorder="1" applyAlignment="1">
      <alignment horizontal="center" vertical="center"/>
    </xf>
    <xf numFmtId="10" fontId="0" fillId="0" borderId="1" xfId="0" applyNumberFormat="1" applyBorder="1" applyAlignment="1">
      <alignment horizontal="center" vertical="center"/>
    </xf>
    <xf numFmtId="10" fontId="0" fillId="0" borderId="78" xfId="0" applyNumberFormat="1" applyBorder="1" applyAlignment="1">
      <alignment horizontal="center" vertical="center"/>
    </xf>
    <xf numFmtId="168" fontId="0" fillId="0" borderId="1" xfId="0" applyNumberFormat="1" applyBorder="1" applyAlignment="1">
      <alignment horizontal="center" vertical="center"/>
    </xf>
    <xf numFmtId="43" fontId="0" fillId="0" borderId="1" xfId="9" applyFont="1" applyBorder="1" applyAlignment="1">
      <alignment horizontal="center" vertical="center"/>
    </xf>
    <xf numFmtId="43" fontId="0" fillId="0" borderId="78" xfId="9" applyFont="1" applyBorder="1" applyAlignment="1">
      <alignment horizontal="center" vertical="center"/>
    </xf>
    <xf numFmtId="168" fontId="0" fillId="0" borderId="79" xfId="0" applyNumberFormat="1" applyBorder="1" applyAlignment="1">
      <alignment horizontal="center" vertical="center"/>
    </xf>
    <xf numFmtId="43" fontId="0" fillId="0" borderId="79" xfId="9" applyFont="1" applyBorder="1" applyAlignment="1">
      <alignment horizontal="center" vertical="center"/>
    </xf>
    <xf numFmtId="0" fontId="2" fillId="0" borderId="0" xfId="0" applyFont="1" applyAlignment="1">
      <alignment horizontal="left" vertical="center"/>
    </xf>
    <xf numFmtId="168" fontId="0" fillId="0" borderId="80" xfId="0" applyNumberFormat="1" applyBorder="1" applyAlignment="1">
      <alignment horizontal="center" vertical="center"/>
    </xf>
    <xf numFmtId="168" fontId="0" fillId="0" borderId="78" xfId="0" applyNumberFormat="1" applyBorder="1" applyAlignment="1">
      <alignment horizontal="center" vertical="center"/>
    </xf>
    <xf numFmtId="168" fontId="0" fillId="0" borderId="0" xfId="0" applyNumberFormat="1" applyAlignment="1">
      <alignment horizontal="center" vertical="center"/>
    </xf>
    <xf numFmtId="10" fontId="0" fillId="0" borderId="79" xfId="0" applyNumberFormat="1" applyBorder="1" applyAlignment="1">
      <alignment horizontal="center" vertical="center"/>
    </xf>
    <xf numFmtId="10" fontId="0" fillId="0" borderId="80" xfId="0" applyNumberFormat="1" applyBorder="1" applyAlignment="1">
      <alignment horizontal="center" vertical="center"/>
    </xf>
    <xf numFmtId="0" fontId="30" fillId="2" borderId="9" xfId="0" applyFont="1" applyFill="1" applyBorder="1" applyAlignment="1">
      <alignment horizontal="center" vertical="center" wrapText="1"/>
    </xf>
    <xf numFmtId="0" fontId="30" fillId="2" borderId="0" xfId="0" applyFont="1" applyFill="1"/>
    <xf numFmtId="0" fontId="30" fillId="2" borderId="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0" xfId="0" applyFont="1" applyFill="1" applyBorder="1" applyAlignment="1">
      <alignment vertical="center" wrapText="1"/>
    </xf>
    <xf numFmtId="4" fontId="30" fillId="2" borderId="0" xfId="0" applyNumberFormat="1" applyFont="1" applyFill="1" applyBorder="1" applyAlignment="1">
      <alignment horizontal="center" vertical="center" wrapText="1"/>
    </xf>
    <xf numFmtId="0" fontId="30" fillId="2" borderId="42" xfId="0" applyFont="1" applyFill="1" applyBorder="1" applyAlignment="1">
      <alignment horizontal="center" vertical="center" wrapText="1"/>
    </xf>
    <xf numFmtId="49" fontId="32" fillId="2" borderId="6" xfId="4" applyNumberFormat="1" applyFont="1" applyFill="1" applyBorder="1" applyAlignment="1">
      <alignment horizontal="center" vertical="center" wrapText="1"/>
    </xf>
    <xf numFmtId="49" fontId="31" fillId="2" borderId="42" xfId="4" applyNumberFormat="1" applyFont="1" applyFill="1" applyBorder="1" applyAlignment="1">
      <alignment horizontal="center" vertical="center" wrapText="1"/>
    </xf>
    <xf numFmtId="49" fontId="31" fillId="2" borderId="0" xfId="4" applyNumberFormat="1"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0"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0" xfId="0" applyFont="1" applyFill="1" applyBorder="1" applyAlignment="1">
      <alignment horizontal="right" vertical="center" wrapText="1"/>
    </xf>
    <xf numFmtId="0" fontId="30" fillId="7" borderId="0" xfId="0" applyFont="1" applyFill="1" applyBorder="1" applyAlignment="1">
      <alignment vertical="center" wrapText="1"/>
    </xf>
    <xf numFmtId="4" fontId="31" fillId="2" borderId="0" xfId="0" applyNumberFormat="1" applyFont="1" applyFill="1" applyBorder="1" applyAlignment="1">
      <alignment horizontal="center" vertical="center" wrapText="1"/>
    </xf>
    <xf numFmtId="10" fontId="30" fillId="7" borderId="42" xfId="0" applyNumberFormat="1" applyFont="1" applyFill="1" applyBorder="1" applyAlignment="1">
      <alignment horizontal="center" vertical="center" wrapText="1"/>
    </xf>
    <xf numFmtId="0" fontId="30" fillId="2" borderId="0" xfId="0" applyFont="1" applyFill="1" applyBorder="1"/>
    <xf numFmtId="0" fontId="30" fillId="2" borderId="42" xfId="0" applyFont="1" applyFill="1" applyBorder="1" applyAlignment="1">
      <alignment horizontal="center"/>
    </xf>
    <xf numFmtId="0" fontId="26" fillId="3" borderId="7" xfId="0" applyFont="1" applyFill="1" applyBorder="1" applyAlignment="1">
      <alignment horizontal="center" vertical="center" wrapText="1"/>
    </xf>
    <xf numFmtId="0" fontId="26" fillId="3" borderId="1" xfId="0" applyFont="1" applyFill="1" applyBorder="1" applyAlignment="1">
      <alignment horizontal="center" vertical="center" wrapText="1"/>
    </xf>
    <xf numFmtId="4" fontId="26" fillId="3" borderId="1" xfId="0" applyNumberFormat="1" applyFont="1" applyFill="1" applyBorder="1" applyAlignment="1">
      <alignment horizontal="center" vertical="center" wrapText="1"/>
    </xf>
    <xf numFmtId="0" fontId="26" fillId="3" borderId="43" xfId="0" applyFont="1" applyFill="1" applyBorder="1" applyAlignment="1">
      <alignment horizontal="center" vertical="center" wrapText="1"/>
    </xf>
    <xf numFmtId="0" fontId="30" fillId="2" borderId="0" xfId="0" applyFont="1" applyFill="1" applyAlignment="1">
      <alignment horizontal="center"/>
    </xf>
    <xf numFmtId="0" fontId="27" fillId="6" borderId="7" xfId="0" applyNumberFormat="1" applyFont="1" applyFill="1" applyBorder="1" applyAlignment="1">
      <alignment horizontal="center" vertical="center" wrapText="1"/>
    </xf>
    <xf numFmtId="4" fontId="27" fillId="6" borderId="1" xfId="0" applyNumberFormat="1"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8" fillId="3" borderId="7" xfId="0"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4" fontId="28" fillId="3" borderId="1" xfId="0" applyNumberFormat="1" applyFont="1" applyFill="1" applyBorder="1" applyAlignment="1">
      <alignment horizontal="left" vertical="center" wrapText="1"/>
    </xf>
    <xf numFmtId="164" fontId="27" fillId="3" borderId="43" xfId="0" applyNumberFormat="1"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4" fontId="28" fillId="2" borderId="5" xfId="0" applyNumberFormat="1" applyFont="1" applyFill="1" applyBorder="1" applyAlignment="1">
      <alignment horizontal="center" vertical="center" wrapText="1"/>
    </xf>
    <xf numFmtId="4" fontId="27" fillId="2" borderId="1" xfId="0" applyNumberFormat="1" applyFont="1" applyFill="1" applyBorder="1" applyAlignment="1">
      <alignment horizontal="left" vertical="center" wrapText="1"/>
    </xf>
    <xf numFmtId="0" fontId="27" fillId="5" borderId="7"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4" fontId="27" fillId="5" borderId="1" xfId="0" applyNumberFormat="1" applyFont="1" applyFill="1" applyBorder="1" applyAlignment="1">
      <alignment horizontal="center" vertical="center" wrapText="1"/>
    </xf>
    <xf numFmtId="164" fontId="27" fillId="5" borderId="43" xfId="0" applyNumberFormat="1" applyFont="1" applyFill="1" applyBorder="1" applyAlignment="1">
      <alignment horizontal="center" vertical="center" wrapText="1"/>
    </xf>
    <xf numFmtId="0" fontId="34" fillId="3"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3" borderId="1" xfId="0" applyFont="1" applyFill="1" applyBorder="1" applyAlignment="1">
      <alignment horizontal="left" vertical="top" wrapText="1"/>
    </xf>
    <xf numFmtId="4" fontId="28" fillId="2" borderId="0" xfId="0" applyNumberFormat="1" applyFont="1" applyFill="1" applyBorder="1" applyAlignment="1">
      <alignment horizontal="center" vertical="center" wrapText="1"/>
    </xf>
    <xf numFmtId="0" fontId="27" fillId="5" borderId="7" xfId="0" applyFont="1" applyFill="1" applyBorder="1" applyAlignment="1">
      <alignment horizontal="center" vertical="center" wrapText="1"/>
    </xf>
    <xf numFmtId="4" fontId="27" fillId="5" borderId="1" xfId="0" applyNumberFormat="1" applyFont="1" applyFill="1" applyBorder="1" applyAlignment="1">
      <alignment horizontal="left" vertical="center" wrapText="1"/>
    </xf>
    <xf numFmtId="0" fontId="28" fillId="3" borderId="0" xfId="0" applyFont="1" applyFill="1" applyBorder="1" applyAlignment="1">
      <alignment horizontal="left" vertical="center" wrapText="1"/>
    </xf>
    <xf numFmtId="4" fontId="28" fillId="3" borderId="0" xfId="0" applyNumberFormat="1" applyFont="1" applyFill="1" applyBorder="1" applyAlignment="1">
      <alignment horizontal="left" vertical="center" wrapText="1"/>
    </xf>
    <xf numFmtId="164" fontId="27" fillId="3" borderId="0" xfId="0" applyNumberFormat="1" applyFont="1" applyFill="1" applyBorder="1" applyAlignment="1">
      <alignment horizontal="left" vertical="center" wrapText="1"/>
    </xf>
    <xf numFmtId="0" fontId="28" fillId="4" borderId="7"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4" fontId="28" fillId="4" borderId="1" xfId="0" applyNumberFormat="1" applyFont="1" applyFill="1" applyBorder="1" applyAlignment="1">
      <alignment horizontal="center" vertical="center" wrapText="1"/>
    </xf>
    <xf numFmtId="44" fontId="28" fillId="4" borderId="1" xfId="1" applyFont="1" applyFill="1" applyBorder="1" applyAlignment="1">
      <alignment horizontal="center" vertical="center" wrapText="1"/>
    </xf>
    <xf numFmtId="44" fontId="28" fillId="3" borderId="1" xfId="1" applyFont="1" applyFill="1" applyBorder="1" applyAlignment="1">
      <alignment horizontal="left" vertical="center" wrapText="1"/>
    </xf>
    <xf numFmtId="0" fontId="28" fillId="4" borderId="6" xfId="0" applyFont="1" applyFill="1" applyBorder="1" applyAlignment="1">
      <alignment horizontal="center" vertical="center" wrapText="1"/>
    </xf>
    <xf numFmtId="0" fontId="30" fillId="0" borderId="4" xfId="0" applyFont="1" applyBorder="1" applyAlignment="1">
      <alignment vertical="top" wrapText="1"/>
    </xf>
    <xf numFmtId="0" fontId="30" fillId="2" borderId="7" xfId="0" applyFont="1" applyFill="1" applyBorder="1" applyAlignment="1">
      <alignment horizontal="center" vertical="center"/>
    </xf>
    <xf numFmtId="0" fontId="35" fillId="2" borderId="1" xfId="0" applyFont="1" applyFill="1" applyBorder="1" applyAlignment="1">
      <alignment vertical="center" wrapText="1"/>
    </xf>
    <xf numFmtId="44" fontId="27" fillId="2" borderId="1" xfId="1" applyFont="1" applyFill="1" applyBorder="1" applyAlignment="1">
      <alignment horizontal="left" vertical="center" wrapText="1"/>
    </xf>
    <xf numFmtId="0" fontId="33" fillId="2" borderId="6"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0" xfId="0" applyFont="1" applyFill="1" applyBorder="1" applyAlignment="1">
      <alignment horizontal="right" vertical="center" wrapText="1"/>
    </xf>
    <xf numFmtId="4" fontId="33" fillId="2" borderId="0" xfId="0" applyNumberFormat="1" applyFont="1" applyFill="1" applyBorder="1" applyAlignment="1">
      <alignment horizontal="center" vertical="center" wrapText="1"/>
    </xf>
    <xf numFmtId="4" fontId="27" fillId="2" borderId="0" xfId="0" applyNumberFormat="1" applyFont="1" applyFill="1" applyBorder="1" applyAlignment="1">
      <alignment horizontal="left" vertical="center" wrapText="1"/>
    </xf>
    <xf numFmtId="165" fontId="30" fillId="2" borderId="1" xfId="2" applyNumberFormat="1" applyFont="1" applyFill="1" applyBorder="1"/>
    <xf numFmtId="0" fontId="30" fillId="2" borderId="1" xfId="0" applyFont="1" applyFill="1" applyBorder="1" applyAlignment="1">
      <alignment horizontal="center" vertical="center"/>
    </xf>
    <xf numFmtId="0" fontId="30" fillId="2" borderId="1" xfId="0" applyFont="1" applyFill="1" applyBorder="1"/>
    <xf numFmtId="10" fontId="30" fillId="2" borderId="1" xfId="2" applyNumberFormat="1" applyFont="1" applyFill="1" applyBorder="1" applyAlignment="1">
      <alignment horizontal="center"/>
    </xf>
    <xf numFmtId="4" fontId="30" fillId="2" borderId="1" xfId="3" applyNumberFormat="1" applyFont="1" applyFill="1" applyBorder="1" applyAlignment="1">
      <alignment horizontal="center"/>
    </xf>
    <xf numFmtId="43" fontId="30" fillId="2" borderId="1" xfId="3" applyFont="1" applyFill="1" applyBorder="1" applyAlignment="1">
      <alignment horizontal="center"/>
    </xf>
    <xf numFmtId="0" fontId="33" fillId="2" borderId="1" xfId="0" applyFont="1" applyFill="1" applyBorder="1" applyAlignment="1">
      <alignment horizontal="right"/>
    </xf>
    <xf numFmtId="0" fontId="33" fillId="2" borderId="1" xfId="0" applyFont="1" applyFill="1" applyBorder="1" applyAlignment="1">
      <alignment horizontal="center"/>
    </xf>
    <xf numFmtId="4" fontId="33" fillId="2" borderId="1" xfId="3" applyNumberFormat="1" applyFont="1" applyFill="1" applyBorder="1" applyAlignment="1">
      <alignment horizontal="center"/>
    </xf>
    <xf numFmtId="43" fontId="33" fillId="2" borderId="1" xfId="3" applyFont="1" applyFill="1" applyBorder="1" applyAlignment="1">
      <alignment horizontal="center"/>
    </xf>
    <xf numFmtId="9" fontId="33" fillId="2" borderId="1" xfId="2" applyFont="1" applyFill="1" applyBorder="1"/>
    <xf numFmtId="0" fontId="30" fillId="2" borderId="4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7" xfId="0" applyFont="1" applyFill="1" applyBorder="1" applyAlignment="1">
      <alignment vertical="center" wrapText="1"/>
    </xf>
    <xf numFmtId="4" fontId="30" fillId="2" borderId="17" xfId="0" applyNumberFormat="1" applyFont="1" applyFill="1" applyBorder="1" applyAlignment="1">
      <alignment horizontal="center" vertical="center" wrapText="1"/>
    </xf>
    <xf numFmtId="0" fontId="30" fillId="2" borderId="4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0" xfId="0" applyFont="1" applyFill="1" applyAlignment="1">
      <alignment vertical="center" wrapText="1"/>
    </xf>
    <xf numFmtId="4" fontId="30" fillId="2" borderId="0" xfId="0" applyNumberFormat="1" applyFont="1" applyFill="1" applyAlignment="1">
      <alignment horizontal="center" vertical="center" wrapText="1"/>
    </xf>
    <xf numFmtId="0" fontId="31" fillId="2" borderId="0" xfId="0" applyFont="1" applyFill="1" applyBorder="1" applyAlignment="1">
      <alignment horizontal="center" vertical="center"/>
    </xf>
    <xf numFmtId="0" fontId="30" fillId="7" borderId="42" xfId="0" applyFont="1" applyFill="1" applyBorder="1" applyAlignment="1">
      <alignment horizontal="left" vertical="center" wrapText="1"/>
    </xf>
    <xf numFmtId="0" fontId="31" fillId="2" borderId="0" xfId="0" applyFont="1" applyFill="1" applyBorder="1" applyAlignment="1">
      <alignment vertical="center" wrapText="1"/>
    </xf>
    <xf numFmtId="10" fontId="30" fillId="7" borderId="42" xfId="0" applyNumberFormat="1" applyFont="1" applyFill="1" applyBorder="1" applyAlignment="1">
      <alignment horizontal="left" vertical="center" wrapText="1"/>
    </xf>
    <xf numFmtId="0" fontId="26" fillId="5" borderId="1" xfId="0" applyFont="1" applyFill="1" applyBorder="1" applyAlignment="1">
      <alignment horizontal="left" vertical="top" wrapText="1"/>
    </xf>
    <xf numFmtId="0" fontId="34" fillId="3" borderId="1" xfId="0" applyFont="1" applyFill="1" applyBorder="1" applyAlignment="1">
      <alignment horizontal="left" vertical="top" wrapText="1"/>
    </xf>
    <xf numFmtId="0" fontId="33" fillId="2" borderId="0" xfId="0" applyFont="1" applyFill="1"/>
    <xf numFmtId="0" fontId="29" fillId="3" borderId="1" xfId="0" applyFont="1" applyFill="1" applyBorder="1" applyAlignment="1">
      <alignment horizontal="left" vertical="top" wrapText="1"/>
    </xf>
    <xf numFmtId="0" fontId="29" fillId="3" borderId="6"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0" xfId="0" applyFont="1" applyFill="1" applyBorder="1" applyAlignment="1">
      <alignment horizontal="right" vertical="center" wrapText="1"/>
    </xf>
    <xf numFmtId="4" fontId="29" fillId="3" borderId="0" xfId="0" applyNumberFormat="1" applyFont="1" applyFill="1" applyBorder="1" applyAlignment="1">
      <alignment horizontal="right" vertical="center" wrapText="1"/>
    </xf>
    <xf numFmtId="0" fontId="29" fillId="3" borderId="49" xfId="0" applyFont="1" applyFill="1" applyBorder="1" applyAlignment="1">
      <alignment horizontal="left" vertical="top" wrapText="1"/>
    </xf>
    <xf numFmtId="0" fontId="30" fillId="0" borderId="0" xfId="0" applyFont="1"/>
    <xf numFmtId="0" fontId="30" fillId="0" borderId="42" xfId="0" applyFont="1" applyBorder="1"/>
    <xf numFmtId="0" fontId="30" fillId="0" borderId="0" xfId="0" applyFont="1" applyBorder="1"/>
    <xf numFmtId="0" fontId="37" fillId="0" borderId="0" xfId="0" applyFont="1"/>
    <xf numFmtId="0" fontId="33" fillId="0" borderId="0" xfId="0" applyFont="1" applyAlignment="1">
      <alignment horizontal="right" vertical="top"/>
    </xf>
    <xf numFmtId="0" fontId="32" fillId="0" borderId="0" xfId="0" applyFont="1" applyAlignment="1">
      <alignment horizontal="left" vertical="top"/>
    </xf>
    <xf numFmtId="0" fontId="30" fillId="2" borderId="0" xfId="11" applyFont="1" applyFill="1" applyBorder="1" applyAlignment="1">
      <alignment vertical="center"/>
    </xf>
    <xf numFmtId="9" fontId="37" fillId="0" borderId="0" xfId="2" applyNumberFormat="1" applyFont="1" applyFill="1" applyBorder="1" applyAlignment="1">
      <alignment horizontal="right" vertical="center"/>
    </xf>
    <xf numFmtId="9" fontId="37" fillId="20" borderId="77" xfId="2" applyNumberFormat="1" applyFont="1" applyFill="1" applyBorder="1" applyAlignment="1">
      <alignment horizontal="right" vertical="center"/>
    </xf>
    <xf numFmtId="0" fontId="37" fillId="0" borderId="0" xfId="0" applyFont="1" applyBorder="1" applyAlignment="1">
      <alignment horizontal="right" vertical="center"/>
    </xf>
    <xf numFmtId="9" fontId="30" fillId="0" borderId="0" xfId="2" applyFont="1" applyBorder="1" applyAlignment="1">
      <alignment horizontal="right" vertical="center"/>
    </xf>
    <xf numFmtId="44" fontId="30" fillId="0" borderId="0" xfId="10" applyFont="1" applyBorder="1" applyAlignment="1">
      <alignment horizontal="center" vertical="center"/>
    </xf>
    <xf numFmtId="0" fontId="38" fillId="18" borderId="63" xfId="0" applyFont="1" applyFill="1" applyBorder="1"/>
    <xf numFmtId="0" fontId="30" fillId="18" borderId="64" xfId="0" applyFont="1" applyFill="1" applyBorder="1"/>
    <xf numFmtId="0" fontId="30" fillId="18" borderId="65" xfId="0" applyFont="1" applyFill="1" applyBorder="1"/>
    <xf numFmtId="0" fontId="30" fillId="18" borderId="66" xfId="0" applyFont="1" applyFill="1" applyBorder="1" applyAlignment="1">
      <alignment horizontal="left" indent="1"/>
    </xf>
    <xf numFmtId="0" fontId="30" fillId="18" borderId="67" xfId="0" applyFont="1" applyFill="1" applyBorder="1"/>
    <xf numFmtId="0" fontId="30" fillId="18" borderId="64" xfId="0" applyFont="1" applyFill="1" applyBorder="1" applyAlignment="1">
      <alignment horizontal="left" indent="2"/>
    </xf>
    <xf numFmtId="0" fontId="30" fillId="18" borderId="68" xfId="0" applyFont="1" applyFill="1" applyBorder="1"/>
    <xf numFmtId="0" fontId="39" fillId="0" borderId="69" xfId="0" applyFont="1" applyBorder="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0" fontId="30" fillId="0" borderId="0" xfId="0" applyFont="1" applyBorder="1" applyAlignment="1">
      <alignment horizontal="left" vertical="center" wrapText="1"/>
    </xf>
    <xf numFmtId="0" fontId="30" fillId="0" borderId="70" xfId="0" applyFont="1" applyBorder="1" applyAlignment="1">
      <alignment horizontal="center" vertical="center"/>
    </xf>
    <xf numFmtId="0" fontId="30" fillId="0" borderId="71" xfId="0" applyFont="1" applyBorder="1" applyAlignment="1">
      <alignment horizontal="center" vertical="center"/>
    </xf>
    <xf numFmtId="14" fontId="30" fillId="0" borderId="69" xfId="0" applyNumberFormat="1" applyFont="1" applyBorder="1" applyAlignment="1">
      <alignment horizontal="center"/>
    </xf>
    <xf numFmtId="44" fontId="30" fillId="0" borderId="0" xfId="1" applyFont="1" applyBorder="1" applyAlignment="1">
      <alignment horizontal="right" vertical="center"/>
    </xf>
    <xf numFmtId="9" fontId="30" fillId="0" borderId="0" xfId="2" applyFont="1" applyBorder="1" applyAlignment="1">
      <alignment horizontal="center" vertical="top"/>
    </xf>
    <xf numFmtId="0" fontId="30" fillId="0" borderId="70" xfId="0" applyFont="1" applyBorder="1" applyAlignment="1">
      <alignment horizontal="left"/>
    </xf>
    <xf numFmtId="9" fontId="30" fillId="0" borderId="0" xfId="2" applyFont="1" applyBorder="1" applyAlignment="1">
      <alignment horizontal="center"/>
    </xf>
    <xf numFmtId="0" fontId="30" fillId="0" borderId="71" xfId="0" applyFont="1" applyBorder="1" applyAlignment="1">
      <alignment horizontal="left"/>
    </xf>
    <xf numFmtId="0" fontId="30" fillId="0" borderId="0" xfId="0" applyFont="1" applyBorder="1" applyAlignment="1">
      <alignment horizontal="right" vertical="center"/>
    </xf>
    <xf numFmtId="14" fontId="30" fillId="0" borderId="0" xfId="0" applyNumberFormat="1" applyFont="1"/>
    <xf numFmtId="9" fontId="30" fillId="0" borderId="0" xfId="2" applyNumberFormat="1" applyFont="1" applyBorder="1" applyAlignment="1">
      <alignment horizontal="center" vertical="top"/>
    </xf>
    <xf numFmtId="0" fontId="30" fillId="0" borderId="70" xfId="0" applyNumberFormat="1" applyFont="1" applyBorder="1" applyAlignment="1">
      <alignment horizontal="left"/>
    </xf>
    <xf numFmtId="0" fontId="30" fillId="0" borderId="71" xfId="0" applyNumberFormat="1" applyFont="1" applyBorder="1" applyAlignment="1">
      <alignment horizontal="left"/>
    </xf>
    <xf numFmtId="0" fontId="40" fillId="19" borderId="72" xfId="0" applyFont="1" applyFill="1" applyBorder="1"/>
    <xf numFmtId="0" fontId="30" fillId="19" borderId="73" xfId="0" applyFont="1" applyFill="1" applyBorder="1"/>
    <xf numFmtId="0" fontId="30" fillId="19" borderId="73" xfId="0" applyFont="1" applyFill="1" applyBorder="1" applyAlignment="1">
      <alignment horizontal="right"/>
    </xf>
    <xf numFmtId="44" fontId="30" fillId="19" borderId="74" xfId="10" applyFont="1" applyFill="1" applyBorder="1" applyAlignment="1">
      <alignment horizontal="right"/>
    </xf>
    <xf numFmtId="0" fontId="40" fillId="19" borderId="69" xfId="0" applyFont="1" applyFill="1" applyBorder="1"/>
    <xf numFmtId="0" fontId="30" fillId="19" borderId="0" xfId="0" applyFont="1" applyFill="1" applyBorder="1"/>
    <xf numFmtId="0" fontId="30" fillId="19" borderId="0" xfId="0" applyFont="1" applyFill="1" applyBorder="1" applyAlignment="1">
      <alignment horizontal="right"/>
    </xf>
    <xf numFmtId="10" fontId="30" fillId="19" borderId="71" xfId="2" applyNumberFormat="1" applyFont="1" applyFill="1" applyBorder="1" applyAlignment="1">
      <alignment horizontal="center"/>
    </xf>
    <xf numFmtId="0" fontId="40" fillId="19" borderId="69" xfId="0" applyFont="1" applyFill="1" applyBorder="1" applyAlignment="1"/>
    <xf numFmtId="0" fontId="30" fillId="19" borderId="0" xfId="0" applyFont="1" applyFill="1" applyBorder="1" applyAlignment="1"/>
    <xf numFmtId="44" fontId="30" fillId="19" borderId="71" xfId="10" applyFont="1" applyFill="1" applyBorder="1" applyAlignment="1">
      <alignment horizontal="right"/>
    </xf>
    <xf numFmtId="0" fontId="40" fillId="19" borderId="75" xfId="0" applyFont="1" applyFill="1" applyBorder="1" applyAlignment="1"/>
    <xf numFmtId="0" fontId="33" fillId="19" borderId="62" xfId="0" applyFont="1" applyFill="1" applyBorder="1" applyAlignment="1">
      <alignment horizontal="right"/>
    </xf>
    <xf numFmtId="44" fontId="33" fillId="19" borderId="76" xfId="10" applyFont="1" applyFill="1" applyBorder="1" applyAlignment="1">
      <alignment horizontal="right"/>
    </xf>
    <xf numFmtId="0" fontId="42" fillId="0" borderId="0" xfId="0" applyFont="1" applyFill="1" applyBorder="1" applyAlignment="1">
      <alignment horizontal="right"/>
    </xf>
    <xf numFmtId="0" fontId="42" fillId="0" borderId="0" xfId="0" applyFont="1" applyFill="1"/>
    <xf numFmtId="0" fontId="33" fillId="9" borderId="0" xfId="0" applyFont="1" applyFill="1" applyBorder="1"/>
    <xf numFmtId="0" fontId="30" fillId="9" borderId="0" xfId="0" applyFont="1" applyFill="1" applyBorder="1"/>
    <xf numFmtId="0" fontId="30" fillId="0" borderId="0" xfId="0" applyFont="1" applyFill="1" applyBorder="1" applyAlignment="1">
      <alignment horizontal="right"/>
    </xf>
    <xf numFmtId="0" fontId="30" fillId="0" borderId="0" xfId="0" applyFont="1" applyFill="1"/>
    <xf numFmtId="0" fontId="30" fillId="9" borderId="62" xfId="0" applyFont="1" applyFill="1" applyBorder="1" applyAlignment="1">
      <alignment wrapText="1"/>
    </xf>
    <xf numFmtId="0" fontId="30" fillId="2" borderId="0" xfId="0" applyFont="1" applyFill="1" applyBorder="1" applyAlignment="1">
      <alignment horizontal="right"/>
    </xf>
    <xf numFmtId="0" fontId="33" fillId="9" borderId="62" xfId="0" applyFont="1" applyFill="1" applyBorder="1" applyAlignment="1">
      <alignment horizontal="left" wrapText="1"/>
    </xf>
    <xf numFmtId="0" fontId="33" fillId="9" borderId="62" xfId="0" applyFont="1" applyFill="1" applyBorder="1" applyAlignment="1">
      <alignment horizontal="left"/>
    </xf>
    <xf numFmtId="10" fontId="30" fillId="19" borderId="71" xfId="2" applyNumberFormat="1" applyFont="1" applyFill="1" applyBorder="1" applyAlignment="1">
      <alignment horizontal="right"/>
    </xf>
    <xf numFmtId="0" fontId="29" fillId="0" borderId="0" xfId="6" applyFont="1"/>
    <xf numFmtId="0" fontId="29" fillId="0" borderId="42" xfId="6" applyFont="1" applyBorder="1"/>
    <xf numFmtId="0" fontId="29" fillId="0" borderId="0" xfId="6" applyFont="1" applyBorder="1"/>
    <xf numFmtId="0" fontId="32" fillId="0" borderId="0" xfId="6" applyFont="1" applyBorder="1" applyAlignment="1">
      <alignment vertical="center" wrapText="1"/>
    </xf>
    <xf numFmtId="0" fontId="33" fillId="12" borderId="11" xfId="6" applyFont="1" applyFill="1" applyBorder="1" applyAlignment="1">
      <alignment horizontal="center" vertical="center" wrapText="1"/>
    </xf>
    <xf numFmtId="0" fontId="33" fillId="12" borderId="11" xfId="6" applyFont="1" applyFill="1" applyBorder="1" applyAlignment="1">
      <alignment horizontal="center" vertical="center" wrapText="1"/>
    </xf>
    <xf numFmtId="0" fontId="33" fillId="0" borderId="0" xfId="6" applyFont="1" applyAlignment="1">
      <alignment vertical="center"/>
    </xf>
    <xf numFmtId="0" fontId="30" fillId="0" borderId="0" xfId="6" applyFont="1" applyAlignment="1">
      <alignment vertical="center"/>
    </xf>
    <xf numFmtId="167" fontId="27" fillId="11" borderId="11" xfId="0" applyNumberFormat="1" applyFont="1" applyFill="1" applyBorder="1" applyAlignment="1">
      <alignment horizontal="right" vertical="center" wrapText="1"/>
    </xf>
    <xf numFmtId="167" fontId="31" fillId="10" borderId="11" xfId="6" applyNumberFormat="1" applyFont="1" applyFill="1" applyBorder="1" applyAlignment="1">
      <alignment horizontal="right" vertical="center" wrapText="1"/>
    </xf>
    <xf numFmtId="44" fontId="27" fillId="11" borderId="11" xfId="1" applyFont="1" applyFill="1" applyBorder="1" applyAlignment="1">
      <alignment horizontal="right" vertical="center" wrapText="1"/>
    </xf>
    <xf numFmtId="44" fontId="31" fillId="10" borderId="11" xfId="1" applyFont="1" applyFill="1" applyBorder="1" applyAlignment="1">
      <alignment horizontal="right" vertical="center" wrapText="1"/>
    </xf>
    <xf numFmtId="0" fontId="29" fillId="0" borderId="11" xfId="6" applyFont="1" applyBorder="1"/>
    <xf numFmtId="0" fontId="31" fillId="0" borderId="11" xfId="6" applyFont="1" applyBorder="1" applyAlignment="1">
      <alignment horizontal="right"/>
    </xf>
    <xf numFmtId="44" fontId="31" fillId="0" borderId="11" xfId="1" applyFont="1" applyBorder="1"/>
    <xf numFmtId="44" fontId="29" fillId="0" borderId="11" xfId="1" applyFont="1" applyBorder="1"/>
    <xf numFmtId="0" fontId="32" fillId="0" borderId="0" xfId="0" applyFont="1" applyProtection="1">
      <protection hidden="1"/>
    </xf>
    <xf numFmtId="0" fontId="31" fillId="0" borderId="6" xfId="0" applyFont="1" applyBorder="1" applyAlignment="1">
      <alignment vertical="center"/>
    </xf>
    <xf numFmtId="0" fontId="31" fillId="0" borderId="0" xfId="0" applyFont="1" applyBorder="1" applyAlignment="1">
      <alignment vertical="center"/>
    </xf>
    <xf numFmtId="0" fontId="31" fillId="0" borderId="42" xfId="0" applyFont="1" applyBorder="1" applyAlignment="1">
      <alignment vertical="center"/>
    </xf>
    <xf numFmtId="0" fontId="32" fillId="0" borderId="6" xfId="0" applyFont="1" applyBorder="1" applyProtection="1">
      <protection hidden="1"/>
    </xf>
    <xf numFmtId="0" fontId="31" fillId="0" borderId="0" xfId="0" applyFont="1" applyBorder="1" applyAlignment="1" applyProtection="1">
      <alignment vertical="center"/>
      <protection hidden="1"/>
    </xf>
    <xf numFmtId="0" fontId="31" fillId="0" borderId="42" xfId="0" applyFont="1" applyBorder="1" applyAlignment="1" applyProtection="1">
      <alignment vertical="center"/>
      <protection hidden="1"/>
    </xf>
    <xf numFmtId="0" fontId="31" fillId="0" borderId="0" xfId="0" applyFont="1"/>
    <xf numFmtId="0" fontId="31" fillId="0" borderId="6" xfId="0" applyFont="1" applyBorder="1"/>
    <xf numFmtId="0" fontId="31" fillId="0" borderId="0" xfId="0" applyFont="1" applyBorder="1" applyAlignment="1" applyProtection="1">
      <alignment horizontal="right" vertical="top"/>
      <protection hidden="1"/>
    </xf>
    <xf numFmtId="0" fontId="30" fillId="7" borderId="42" xfId="0" applyFont="1" applyFill="1" applyBorder="1" applyAlignment="1">
      <alignment vertical="center" wrapText="1"/>
    </xf>
    <xf numFmtId="0" fontId="31" fillId="0" borderId="0" xfId="0" applyFont="1" applyBorder="1" applyAlignment="1" applyProtection="1">
      <alignment horizontal="right" vertical="center"/>
      <protection hidden="1"/>
    </xf>
    <xf numFmtId="10" fontId="32" fillId="0" borderId="42" xfId="0" applyNumberFormat="1" applyFont="1" applyBorder="1" applyAlignment="1">
      <alignment horizontal="right" vertical="center"/>
    </xf>
    <xf numFmtId="0" fontId="30" fillId="0" borderId="6" xfId="0" applyFont="1" applyBorder="1"/>
    <xf numFmtId="0" fontId="33" fillId="0" borderId="0" xfId="0" applyFont="1"/>
    <xf numFmtId="0" fontId="33" fillId="2" borderId="56" xfId="0" applyFont="1" applyFill="1" applyBorder="1" applyAlignment="1">
      <alignment horizontal="center"/>
    </xf>
    <xf numFmtId="0" fontId="33" fillId="2" borderId="18" xfId="0" applyFont="1" applyFill="1" applyBorder="1" applyAlignment="1">
      <alignment horizontal="center"/>
    </xf>
    <xf numFmtId="0" fontId="33" fillId="2" borderId="57" xfId="0" applyFont="1" applyFill="1" applyBorder="1" applyAlignment="1">
      <alignment horizontal="center"/>
    </xf>
    <xf numFmtId="0" fontId="43" fillId="11" borderId="18" xfId="0" applyFont="1" applyFill="1" applyBorder="1" applyAlignment="1">
      <alignment vertical="top" wrapText="1"/>
    </xf>
    <xf numFmtId="44" fontId="43" fillId="11" borderId="57" xfId="1" applyFont="1" applyFill="1" applyBorder="1" applyAlignment="1">
      <alignment vertical="top" wrapText="1"/>
    </xf>
    <xf numFmtId="0" fontId="43" fillId="15" borderId="56" xfId="0" applyFont="1" applyFill="1" applyBorder="1" applyAlignment="1">
      <alignment horizontal="left" vertical="top" wrapText="1"/>
    </xf>
    <xf numFmtId="44" fontId="43" fillId="15" borderId="57" xfId="1" applyFont="1" applyFill="1" applyBorder="1" applyAlignment="1">
      <alignment horizontal="left" vertical="top" wrapText="1"/>
    </xf>
    <xf numFmtId="0" fontId="33" fillId="14" borderId="56" xfId="0" applyFont="1" applyFill="1" applyBorder="1" applyAlignment="1">
      <alignment horizontal="center"/>
    </xf>
    <xf numFmtId="0" fontId="33" fillId="14" borderId="18" xfId="0" applyFont="1" applyFill="1" applyBorder="1" applyAlignment="1">
      <alignment horizontal="center"/>
    </xf>
    <xf numFmtId="0" fontId="33" fillId="14" borderId="57" xfId="0" applyFont="1" applyFill="1" applyBorder="1" applyAlignment="1">
      <alignment horizontal="center"/>
    </xf>
    <xf numFmtId="0" fontId="43" fillId="14" borderId="56" xfId="0" applyFont="1" applyFill="1" applyBorder="1" applyAlignment="1">
      <alignment horizontal="left" vertical="top" wrapText="1"/>
    </xf>
    <xf numFmtId="0" fontId="43" fillId="14" borderId="18" xfId="0" applyFont="1" applyFill="1" applyBorder="1" applyAlignment="1">
      <alignment vertical="top" wrapText="1"/>
    </xf>
    <xf numFmtId="44" fontId="43" fillId="14" borderId="57" xfId="1" applyFont="1" applyFill="1" applyBorder="1" applyAlignment="1">
      <alignment vertical="top" wrapText="1"/>
    </xf>
    <xf numFmtId="0" fontId="43" fillId="14" borderId="18" xfId="0" applyFont="1" applyFill="1" applyBorder="1" applyAlignment="1">
      <alignment horizontal="right" vertical="top" wrapText="1"/>
    </xf>
    <xf numFmtId="44" fontId="43" fillId="14" borderId="57" xfId="1" applyFont="1" applyFill="1" applyBorder="1" applyAlignment="1">
      <alignment horizontal="right" vertical="top" wrapText="1"/>
    </xf>
    <xf numFmtId="0" fontId="30" fillId="0" borderId="46" xfId="0" applyFont="1" applyBorder="1"/>
    <xf numFmtId="0" fontId="30" fillId="0" borderId="17" xfId="0" applyFont="1" applyBorder="1"/>
    <xf numFmtId="0" fontId="30" fillId="0" borderId="47" xfId="0" applyFont="1" applyBorder="1"/>
    <xf numFmtId="0" fontId="43" fillId="14" borderId="56" xfId="0" applyFont="1" applyFill="1" applyBorder="1" applyAlignment="1">
      <alignment horizontal="center" vertical="center" wrapText="1"/>
    </xf>
    <xf numFmtId="0" fontId="43" fillId="11" borderId="56"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41" xfId="0" applyFont="1" applyBorder="1"/>
    <xf numFmtId="0" fontId="4" fillId="0" borderId="6" xfId="0" applyFont="1" applyBorder="1" applyAlignment="1">
      <alignment horizontal="center" vertical="center"/>
    </xf>
    <xf numFmtId="0" fontId="3" fillId="7" borderId="0" xfId="0" applyFont="1" applyFill="1" applyBorder="1" applyAlignment="1">
      <alignment horizontal="left" vertical="center" wrapText="1"/>
    </xf>
    <xf numFmtId="0" fontId="4" fillId="7" borderId="42" xfId="0" applyFont="1" applyFill="1" applyBorder="1" applyAlignment="1">
      <alignment horizontal="left" vertical="center" wrapText="1"/>
    </xf>
    <xf numFmtId="10" fontId="4" fillId="7" borderId="42" xfId="0" applyNumberFormat="1" applyFont="1" applyFill="1" applyBorder="1" applyAlignment="1">
      <alignment horizontal="left" vertical="center" wrapText="1"/>
    </xf>
    <xf numFmtId="0" fontId="4" fillId="0" borderId="7" xfId="0" applyFont="1" applyBorder="1" applyAlignment="1">
      <alignment vertical="center"/>
    </xf>
    <xf numFmtId="0" fontId="4" fillId="0" borderId="1" xfId="0" applyFont="1" applyBorder="1" applyAlignment="1">
      <alignment vertical="top"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44" fontId="3" fillId="8" borderId="1" xfId="1" applyFont="1" applyFill="1" applyBorder="1" applyAlignment="1">
      <alignment horizontal="center" vertical="center"/>
    </xf>
    <xf numFmtId="44" fontId="3" fillId="8" borderId="43" xfId="1" applyFont="1" applyFill="1" applyBorder="1" applyAlignment="1">
      <alignment horizontal="center" vertical="center"/>
    </xf>
    <xf numFmtId="0" fontId="4" fillId="0" borderId="48" xfId="0" applyFont="1" applyBorder="1" applyAlignment="1">
      <alignment vertical="center"/>
    </xf>
    <xf numFmtId="0" fontId="4" fillId="0" borderId="49" xfId="0" applyFont="1" applyBorder="1" applyAlignment="1">
      <alignment vertical="top" wrapText="1"/>
    </xf>
    <xf numFmtId="0" fontId="4" fillId="0" borderId="49" xfId="0" applyFont="1" applyBorder="1" applyAlignment="1">
      <alignment horizontal="center" vertical="center"/>
    </xf>
    <xf numFmtId="44" fontId="4" fillId="0" borderId="49" xfId="1" applyFont="1" applyBorder="1" applyAlignment="1">
      <alignment horizontal="center" vertical="center"/>
    </xf>
    <xf numFmtId="44" fontId="3" fillId="8" borderId="49" xfId="1" applyFont="1" applyFill="1" applyBorder="1" applyAlignment="1">
      <alignment horizontal="center" vertical="center"/>
    </xf>
    <xf numFmtId="44" fontId="3" fillId="8" borderId="50" xfId="1" applyFont="1" applyFill="1" applyBorder="1" applyAlignment="1">
      <alignment horizontal="center" vertical="center"/>
    </xf>
    <xf numFmtId="10" fontId="30" fillId="2" borderId="0" xfId="0" applyNumberFormat="1" applyFont="1" applyFill="1"/>
    <xf numFmtId="44" fontId="30" fillId="2" borderId="0" xfId="1" applyFont="1" applyFill="1"/>
    <xf numFmtId="44" fontId="28" fillId="3" borderId="0" xfId="1" applyFont="1" applyFill="1" applyBorder="1" applyAlignment="1">
      <alignment horizontal="left" vertical="center" wrapText="1"/>
    </xf>
    <xf numFmtId="0" fontId="43" fillId="15" borderId="18" xfId="0" applyFont="1" applyFill="1" applyBorder="1" applyAlignment="1">
      <alignment horizontal="right" vertical="top" wrapText="1"/>
    </xf>
    <xf numFmtId="0" fontId="31" fillId="2" borderId="0" xfId="0" applyFont="1" applyFill="1" applyBorder="1" applyAlignment="1">
      <alignment horizontal="center" vertical="center"/>
    </xf>
    <xf numFmtId="0" fontId="31" fillId="2" borderId="42" xfId="0" applyFont="1" applyFill="1" applyBorder="1" applyAlignment="1">
      <alignment horizontal="center" vertical="center"/>
    </xf>
    <xf numFmtId="0" fontId="30" fillId="7" borderId="0"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3" fillId="7" borderId="0" xfId="0" applyFont="1" applyFill="1" applyBorder="1" applyAlignment="1">
      <alignment horizontal="right" vertical="center" wrapText="1"/>
    </xf>
    <xf numFmtId="0" fontId="26" fillId="6" borderId="82" xfId="0" applyFont="1" applyFill="1" applyBorder="1" applyAlignment="1">
      <alignment horizontal="center" vertical="center" wrapText="1"/>
    </xf>
    <xf numFmtId="0" fontId="27" fillId="6" borderId="80" xfId="0" applyFont="1" applyFill="1" applyBorder="1" applyAlignment="1">
      <alignment horizontal="left" vertical="center" wrapText="1"/>
    </xf>
    <xf numFmtId="0" fontId="27" fillId="6" borderId="80" xfId="0" applyFont="1" applyFill="1" applyBorder="1" applyAlignment="1">
      <alignment horizontal="center" vertical="center" wrapText="1"/>
    </xf>
    <xf numFmtId="0" fontId="28" fillId="3" borderId="80" xfId="0" applyFont="1" applyFill="1" applyBorder="1" applyAlignment="1">
      <alignment horizontal="left" vertical="center" wrapText="1"/>
    </xf>
    <xf numFmtId="0" fontId="28" fillId="3" borderId="80" xfId="0" applyFont="1" applyFill="1" applyBorder="1" applyAlignment="1">
      <alignment horizontal="center" vertical="center" wrapText="1"/>
    </xf>
    <xf numFmtId="2" fontId="29" fillId="3" borderId="80" xfId="0" applyNumberFormat="1" applyFont="1" applyFill="1" applyBorder="1" applyAlignment="1">
      <alignment horizontal="center" vertical="center" wrapText="1"/>
    </xf>
    <xf numFmtId="4" fontId="28" fillId="3" borderId="80" xfId="0" applyNumberFormat="1" applyFont="1" applyFill="1" applyBorder="1" applyAlignment="1">
      <alignment horizontal="center" vertical="center" wrapText="1"/>
    </xf>
    <xf numFmtId="0" fontId="28" fillId="3" borderId="49" xfId="0" applyFont="1" applyFill="1" applyBorder="1" applyAlignment="1">
      <alignment horizontal="left" vertical="center" wrapText="1"/>
    </xf>
    <xf numFmtId="0" fontId="28" fillId="3" borderId="49"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6" xfId="0" applyFill="1" applyBorder="1" applyAlignment="1">
      <alignment horizontal="center" vertical="center" wrapText="1"/>
    </xf>
    <xf numFmtId="0" fontId="26" fillId="3" borderId="81"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48" xfId="0" applyFont="1" applyFill="1" applyBorder="1" applyAlignment="1">
      <alignment horizontal="center" vertical="center" wrapText="1"/>
    </xf>
    <xf numFmtId="0" fontId="0" fillId="2" borderId="8" xfId="0" applyFill="1" applyBorder="1" applyAlignment="1">
      <alignment horizontal="center" vertical="center" wrapText="1"/>
    </xf>
    <xf numFmtId="4" fontId="0" fillId="2" borderId="0" xfId="0" applyNumberFormat="1" applyFill="1" applyBorder="1" applyAlignment="1">
      <alignment horizontal="center" vertical="center" wrapText="1"/>
    </xf>
    <xf numFmtId="0" fontId="31" fillId="0" borderId="6" xfId="6" applyFont="1" applyBorder="1" applyAlignment="1">
      <alignment horizontal="center" vertical="center"/>
    </xf>
    <xf numFmtId="0" fontId="29" fillId="0" borderId="6" xfId="6" applyFont="1" applyBorder="1" applyAlignment="1">
      <alignment horizontal="center" vertical="center"/>
    </xf>
    <xf numFmtId="0" fontId="29" fillId="0" borderId="11" xfId="6" applyFont="1" applyBorder="1" applyAlignment="1">
      <alignment horizontal="center" vertical="center"/>
    </xf>
    <xf numFmtId="0" fontId="29" fillId="0" borderId="0" xfId="6" applyFont="1" applyAlignment="1">
      <alignment horizontal="center" vertical="center"/>
    </xf>
    <xf numFmtId="10" fontId="31" fillId="10" borderId="11" xfId="6" applyNumberFormat="1" applyFont="1" applyFill="1" applyBorder="1" applyAlignment="1">
      <alignment horizontal="center" vertical="center" wrapText="1"/>
    </xf>
    <xf numFmtId="9" fontId="27" fillId="11" borderId="11" xfId="2" applyFont="1" applyFill="1" applyBorder="1" applyAlignment="1">
      <alignment horizontal="center" vertical="center" wrapText="1"/>
    </xf>
    <xf numFmtId="9" fontId="31" fillId="10" borderId="11" xfId="2" applyFont="1" applyFill="1" applyBorder="1" applyAlignment="1">
      <alignment horizontal="center" vertical="center" wrapText="1"/>
    </xf>
    <xf numFmtId="9" fontId="31" fillId="0" borderId="11" xfId="2" applyFont="1" applyBorder="1" applyAlignment="1">
      <alignment horizontal="center" vertical="center" wrapText="1"/>
    </xf>
    <xf numFmtId="0" fontId="35" fillId="2" borderId="1" xfId="0" applyFont="1" applyFill="1" applyBorder="1" applyAlignment="1">
      <alignment horizontal="center" vertical="center" wrapText="1"/>
    </xf>
    <xf numFmtId="0" fontId="26" fillId="5" borderId="1" xfId="0" applyFont="1" applyFill="1" applyBorder="1" applyAlignment="1">
      <alignment horizontal="right" vertical="center" wrapText="1"/>
    </xf>
    <xf numFmtId="0" fontId="26" fillId="5" borderId="7"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49" xfId="0" applyFont="1" applyFill="1" applyBorder="1" applyAlignment="1">
      <alignment horizontal="center" vertical="center" wrapText="1"/>
    </xf>
    <xf numFmtId="4" fontId="28" fillId="3" borderId="1" xfId="0" applyNumberFormat="1" applyFont="1" applyFill="1" applyBorder="1" applyAlignment="1">
      <alignment horizontal="right" vertical="center" wrapText="1"/>
    </xf>
    <xf numFmtId="4" fontId="29" fillId="3" borderId="1" xfId="0" applyNumberFormat="1" applyFont="1" applyFill="1" applyBorder="1" applyAlignment="1">
      <alignment horizontal="right" vertical="center" wrapText="1"/>
    </xf>
    <xf numFmtId="4" fontId="29" fillId="3" borderId="49" xfId="0" applyNumberFormat="1" applyFont="1" applyFill="1" applyBorder="1" applyAlignment="1">
      <alignment horizontal="right" vertical="center" wrapText="1"/>
    </xf>
    <xf numFmtId="49" fontId="32" fillId="2" borderId="42" xfId="4" applyNumberFormat="1" applyFont="1" applyFill="1" applyBorder="1" applyAlignment="1">
      <alignment horizontal="center" vertical="center" wrapText="1"/>
    </xf>
    <xf numFmtId="4" fontId="29" fillId="3" borderId="42" xfId="0" applyNumberFormat="1" applyFont="1" applyFill="1" applyBorder="1" applyAlignment="1">
      <alignment horizontal="center" vertical="center" wrapText="1"/>
    </xf>
    <xf numFmtId="0" fontId="26" fillId="5" borderId="43" xfId="0" applyFont="1" applyFill="1" applyBorder="1" applyAlignment="1">
      <alignment horizontal="center" vertical="center" wrapText="1"/>
    </xf>
    <xf numFmtId="4" fontId="28" fillId="3" borderId="43" xfId="0" applyNumberFormat="1" applyFont="1" applyFill="1" applyBorder="1" applyAlignment="1">
      <alignment horizontal="center" vertical="center" wrapText="1"/>
    </xf>
    <xf numFmtId="4" fontId="29" fillId="3" borderId="1" xfId="0" applyNumberFormat="1" applyFont="1" applyFill="1" applyBorder="1" applyAlignment="1">
      <alignment horizontal="center" vertical="center" wrapText="1"/>
    </xf>
    <xf numFmtId="4" fontId="29" fillId="3" borderId="43" xfId="0" applyNumberFormat="1" applyFont="1" applyFill="1" applyBorder="1" applyAlignment="1">
      <alignment horizontal="center" vertical="center" wrapText="1"/>
    </xf>
    <xf numFmtId="4" fontId="29" fillId="3" borderId="49" xfId="0" applyNumberFormat="1" applyFont="1" applyFill="1" applyBorder="1" applyAlignment="1">
      <alignment horizontal="center" vertical="center" wrapText="1"/>
    </xf>
    <xf numFmtId="4" fontId="29" fillId="3" borderId="50" xfId="0" applyNumberFormat="1" applyFont="1" applyFill="1" applyBorder="1" applyAlignment="1">
      <alignment horizontal="center" vertical="center" wrapText="1"/>
    </xf>
    <xf numFmtId="4" fontId="28" fillId="2" borderId="1" xfId="0" applyNumberFormat="1" applyFont="1" applyFill="1" applyBorder="1" applyAlignment="1">
      <alignment vertical="center" wrapText="1"/>
    </xf>
    <xf numFmtId="44" fontId="30" fillId="2" borderId="17" xfId="1" applyFont="1" applyFill="1" applyBorder="1" applyAlignment="1">
      <alignment vertical="center" wrapText="1"/>
    </xf>
    <xf numFmtId="44" fontId="28" fillId="3" borderId="0" xfId="0" applyNumberFormat="1" applyFont="1" applyFill="1" applyBorder="1" applyAlignment="1">
      <alignment horizontal="left" vertical="center" wrapText="1"/>
    </xf>
    <xf numFmtId="4" fontId="28" fillId="2" borderId="1" xfId="0" applyNumberFormat="1" applyFont="1" applyFill="1" applyBorder="1" applyAlignment="1">
      <alignment horizontal="left" vertical="center" wrapText="1"/>
    </xf>
    <xf numFmtId="44" fontId="28" fillId="2" borderId="1" xfId="1" applyFont="1" applyFill="1" applyBorder="1" applyAlignment="1">
      <alignment horizontal="left" vertical="center" wrapText="1"/>
    </xf>
    <xf numFmtId="0" fontId="30" fillId="2" borderId="6"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30" fillId="2" borderId="0" xfId="0" applyFont="1" applyFill="1" applyAlignment="1">
      <alignment horizontal="center" wrapText="1"/>
    </xf>
    <xf numFmtId="0" fontId="30" fillId="0" borderId="6" xfId="0" applyFont="1" applyBorder="1" applyAlignment="1">
      <alignment horizontal="left" wrapText="1"/>
    </xf>
    <xf numFmtId="0" fontId="30" fillId="0" borderId="0" xfId="0" applyFont="1" applyBorder="1" applyAlignment="1">
      <alignment horizontal="left" wrapText="1"/>
    </xf>
    <xf numFmtId="0" fontId="30" fillId="0" borderId="42" xfId="0" applyFont="1" applyBorder="1" applyAlignment="1">
      <alignment horizontal="left" wrapText="1"/>
    </xf>
    <xf numFmtId="0" fontId="31" fillId="0" borderId="9" xfId="0" applyFont="1" applyBorder="1" applyAlignment="1" applyProtection="1">
      <alignment horizontal="center" vertical="center"/>
      <protection hidden="1"/>
    </xf>
    <xf numFmtId="0" fontId="31" fillId="0" borderId="8" xfId="0" applyFont="1" applyBorder="1" applyAlignment="1" applyProtection="1">
      <alignment horizontal="center" vertical="center"/>
      <protection hidden="1"/>
    </xf>
    <xf numFmtId="0" fontId="31" fillId="0" borderId="41" xfId="0" applyFont="1" applyBorder="1" applyAlignment="1" applyProtection="1">
      <alignment horizontal="center" vertical="center"/>
      <protection hidden="1"/>
    </xf>
    <xf numFmtId="0" fontId="31" fillId="0" borderId="6" xfId="0" applyFont="1" applyBorder="1" applyAlignment="1">
      <alignment horizontal="center"/>
    </xf>
    <xf numFmtId="0" fontId="31" fillId="0" borderId="0" xfId="0" applyFont="1" applyBorder="1" applyAlignment="1">
      <alignment horizontal="center"/>
    </xf>
    <xf numFmtId="0" fontId="31" fillId="0" borderId="42" xfId="0" applyFont="1" applyBorder="1" applyAlignment="1">
      <alignment horizontal="center"/>
    </xf>
    <xf numFmtId="0" fontId="31" fillId="0" borderId="6" xfId="0" applyFont="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31" fillId="0" borderId="42" xfId="0" applyFont="1" applyBorder="1" applyAlignment="1" applyProtection="1">
      <alignment horizontal="center" vertical="center"/>
      <protection hidden="1"/>
    </xf>
    <xf numFmtId="0" fontId="31" fillId="0" borderId="6" xfId="0" applyFont="1" applyBorder="1" applyAlignment="1" applyProtection="1">
      <alignment horizontal="center" vertical="center" wrapText="1"/>
      <protection hidden="1"/>
    </xf>
    <xf numFmtId="0" fontId="31" fillId="0" borderId="0"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33" fillId="14" borderId="56" xfId="0" applyFont="1" applyFill="1" applyBorder="1" applyAlignment="1">
      <alignment horizontal="center" vertical="center"/>
    </xf>
    <xf numFmtId="0" fontId="33" fillId="14" borderId="18" xfId="0" applyFont="1" applyFill="1" applyBorder="1" applyAlignment="1">
      <alignment horizontal="center" vertical="center"/>
    </xf>
    <xf numFmtId="0" fontId="33" fillId="14" borderId="57" xfId="0" applyFont="1" applyFill="1" applyBorder="1" applyAlignment="1">
      <alignment horizontal="center" vertical="center"/>
    </xf>
    <xf numFmtId="0" fontId="33" fillId="2" borderId="56"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5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41"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42" xfId="0" applyFont="1" applyFill="1" applyBorder="1" applyAlignment="1">
      <alignment horizontal="center" vertical="center"/>
    </xf>
    <xf numFmtId="0" fontId="36" fillId="2" borderId="7" xfId="0" applyFont="1" applyFill="1" applyBorder="1" applyAlignment="1">
      <alignment horizontal="right" vertical="center" wrapText="1"/>
    </xf>
    <xf numFmtId="0" fontId="36" fillId="2" borderId="1" xfId="0" applyFont="1" applyFill="1" applyBorder="1" applyAlignment="1">
      <alignment horizontal="right" vertical="center" wrapText="1"/>
    </xf>
    <xf numFmtId="44" fontId="27" fillId="2" borderId="1" xfId="1" applyFont="1" applyFill="1" applyBorder="1" applyAlignment="1">
      <alignment horizontal="center" vertical="center" wrapText="1"/>
    </xf>
    <xf numFmtId="44" fontId="27" fillId="2" borderId="43" xfId="1" applyFont="1" applyFill="1" applyBorder="1" applyAlignment="1">
      <alignment horizontal="center" vertical="center" wrapText="1"/>
    </xf>
    <xf numFmtId="0" fontId="30" fillId="7" borderId="0" xfId="0" applyFont="1" applyFill="1" applyBorder="1" applyAlignment="1">
      <alignment horizontal="center" vertical="center" wrapText="1"/>
    </xf>
    <xf numFmtId="0" fontId="30" fillId="7" borderId="42" xfId="0" applyFont="1" applyFill="1" applyBorder="1" applyAlignment="1">
      <alignment horizontal="center" vertical="center" wrapText="1"/>
    </xf>
    <xf numFmtId="49" fontId="31" fillId="2" borderId="0" xfId="4" applyNumberFormat="1" applyFont="1" applyFill="1" applyBorder="1" applyAlignment="1">
      <alignment horizontal="center" vertical="center" wrapText="1"/>
    </xf>
    <xf numFmtId="0" fontId="33" fillId="2" borderId="44" xfId="0" applyFont="1" applyFill="1" applyBorder="1" applyAlignment="1">
      <alignment horizontal="center"/>
    </xf>
    <xf numFmtId="0" fontId="33" fillId="2" borderId="2" xfId="0" applyFont="1" applyFill="1" applyBorder="1" applyAlignment="1">
      <alignment horizontal="center"/>
    </xf>
    <xf numFmtId="0" fontId="33" fillId="2" borderId="45" xfId="0" applyFont="1" applyFill="1" applyBorder="1" applyAlignment="1">
      <alignment horizontal="center"/>
    </xf>
    <xf numFmtId="0" fontId="30" fillId="2" borderId="7"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1" xfId="0" applyFont="1" applyFill="1" applyBorder="1" applyAlignment="1">
      <alignment horizontal="center"/>
    </xf>
    <xf numFmtId="44" fontId="30" fillId="2" borderId="1" xfId="1" applyFont="1" applyFill="1" applyBorder="1" applyAlignment="1">
      <alignment horizontal="center"/>
    </xf>
    <xf numFmtId="44" fontId="30" fillId="2" borderId="43" xfId="1" applyFont="1" applyFill="1" applyBorder="1" applyAlignment="1">
      <alignment horizontal="center"/>
    </xf>
    <xf numFmtId="0" fontId="30" fillId="2" borderId="6" xfId="0" applyFont="1" applyFill="1" applyBorder="1" applyAlignment="1">
      <alignment horizontal="center"/>
    </xf>
    <xf numFmtId="0" fontId="30" fillId="2" borderId="0" xfId="0" applyFont="1" applyFill="1" applyBorder="1" applyAlignment="1">
      <alignment horizontal="center"/>
    </xf>
    <xf numFmtId="0" fontId="30" fillId="2" borderId="42" xfId="0" applyFont="1" applyFill="1" applyBorder="1" applyAlignment="1">
      <alignment horizontal="center"/>
    </xf>
    <xf numFmtId="44" fontId="33" fillId="2" borderId="1" xfId="1" applyFont="1" applyFill="1" applyBorder="1" applyAlignment="1">
      <alignment horizontal="center"/>
    </xf>
    <xf numFmtId="44" fontId="33" fillId="2" borderId="43" xfId="1" applyFont="1" applyFill="1" applyBorder="1" applyAlignment="1">
      <alignment horizontal="center"/>
    </xf>
    <xf numFmtId="0" fontId="33" fillId="7" borderId="6"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42" xfId="0" applyFont="1" applyFill="1" applyBorder="1" applyAlignment="1">
      <alignment horizontal="center" vertical="center" wrapText="1"/>
    </xf>
    <xf numFmtId="4" fontId="28" fillId="3" borderId="51" xfId="0" applyNumberFormat="1" applyFont="1" applyFill="1" applyBorder="1" applyAlignment="1">
      <alignment horizontal="left" vertical="center" wrapText="1"/>
    </xf>
    <xf numFmtId="4" fontId="28" fillId="3" borderId="52" xfId="0" applyNumberFormat="1" applyFont="1" applyFill="1" applyBorder="1" applyAlignment="1">
      <alignment horizontal="left" vertical="center" wrapText="1"/>
    </xf>
    <xf numFmtId="4" fontId="28" fillId="3" borderId="53" xfId="0" applyNumberFormat="1" applyFont="1" applyFill="1" applyBorder="1" applyAlignment="1">
      <alignment horizontal="left" vertical="center" wrapText="1"/>
    </xf>
    <xf numFmtId="4" fontId="28" fillId="3" borderId="3" xfId="0" applyNumberFormat="1" applyFont="1" applyFill="1" applyBorder="1" applyAlignment="1">
      <alignment horizontal="left" vertical="center" wrapText="1"/>
    </xf>
    <xf numFmtId="4" fontId="28" fillId="3" borderId="2" xfId="0" applyNumberFormat="1" applyFont="1" applyFill="1" applyBorder="1" applyAlignment="1">
      <alignment horizontal="left" vertical="center" wrapText="1"/>
    </xf>
    <xf numFmtId="4" fontId="28" fillId="3" borderId="45" xfId="0" applyNumberFormat="1" applyFont="1" applyFill="1" applyBorder="1" applyAlignment="1">
      <alignment horizontal="left" vertical="center" wrapText="1"/>
    </xf>
    <xf numFmtId="0" fontId="26" fillId="6" borderId="83" xfId="0" applyFont="1" applyFill="1" applyBorder="1" applyAlignment="1">
      <alignment horizontal="center" vertical="center" wrapText="1"/>
    </xf>
    <xf numFmtId="0" fontId="26" fillId="6" borderId="84" xfId="0" applyFont="1" applyFill="1" applyBorder="1" applyAlignment="1">
      <alignment horizontal="center" vertical="center" wrapText="1"/>
    </xf>
    <xf numFmtId="0" fontId="26" fillId="6" borderId="85" xfId="0" applyFont="1" applyFill="1" applyBorder="1" applyAlignment="1">
      <alignment horizontal="center" vertical="center" wrapText="1"/>
    </xf>
    <xf numFmtId="0" fontId="27" fillId="6" borderId="3" xfId="0" applyFont="1" applyFill="1" applyBorder="1" applyAlignment="1">
      <alignment horizontal="left" vertical="center" wrapText="1"/>
    </xf>
    <xf numFmtId="0" fontId="27" fillId="6" borderId="2" xfId="0" applyFont="1" applyFill="1" applyBorder="1" applyAlignment="1">
      <alignment horizontal="left" vertical="center" wrapText="1"/>
    </xf>
    <xf numFmtId="0" fontId="27" fillId="6" borderId="45"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2" borderId="0" xfId="4" applyNumberFormat="1" applyFont="1" applyFill="1" applyBorder="1" applyAlignment="1">
      <alignment horizontal="center" vertical="center" wrapText="1"/>
    </xf>
    <xf numFmtId="4" fontId="29" fillId="3" borderId="3" xfId="0" applyNumberFormat="1" applyFont="1" applyFill="1" applyBorder="1" applyAlignment="1">
      <alignment horizontal="left" vertical="center" wrapText="1"/>
    </xf>
    <xf numFmtId="4" fontId="29" fillId="3" borderId="2" xfId="0" applyNumberFormat="1" applyFont="1" applyFill="1" applyBorder="1" applyAlignment="1">
      <alignment horizontal="left" vertical="center" wrapText="1"/>
    </xf>
    <xf numFmtId="4" fontId="29" fillId="3" borderId="45" xfId="0" applyNumberFormat="1" applyFont="1" applyFill="1" applyBorder="1" applyAlignment="1">
      <alignment horizontal="left" vertical="center" wrapText="1"/>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9" fillId="7" borderId="54"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55" xfId="0" applyFont="1" applyFill="1" applyBorder="1" applyAlignment="1">
      <alignment horizontal="center" vertical="center"/>
    </xf>
    <xf numFmtId="0" fontId="31" fillId="0" borderId="9" xfId="6" applyFont="1" applyBorder="1" applyAlignment="1">
      <alignment horizontal="center"/>
    </xf>
    <xf numFmtId="0" fontId="31" fillId="0" borderId="8" xfId="6" applyFont="1" applyBorder="1" applyAlignment="1">
      <alignment horizontal="center"/>
    </xf>
    <xf numFmtId="0" fontId="31" fillId="0" borderId="41" xfId="6" applyFont="1" applyBorder="1" applyAlignment="1">
      <alignment horizontal="center"/>
    </xf>
    <xf numFmtId="0" fontId="31" fillId="0" borderId="6" xfId="6" applyFont="1" applyBorder="1" applyAlignment="1">
      <alignment horizontal="center"/>
    </xf>
    <xf numFmtId="0" fontId="31" fillId="0" borderId="0" xfId="6" applyFont="1" applyBorder="1" applyAlignment="1">
      <alignment horizontal="center"/>
    </xf>
    <xf numFmtId="0" fontId="31" fillId="0" borderId="42" xfId="6" applyFont="1" applyBorder="1" applyAlignment="1">
      <alignment horizontal="center"/>
    </xf>
    <xf numFmtId="0" fontId="31" fillId="10" borderId="13" xfId="6" applyFont="1" applyFill="1" applyBorder="1" applyAlignment="1">
      <alignment horizontal="center" vertical="center" wrapText="1"/>
    </xf>
    <xf numFmtId="0" fontId="31" fillId="10" borderId="12" xfId="6" applyFont="1" applyFill="1" applyBorder="1" applyAlignment="1">
      <alignment horizontal="center" vertical="center" wrapText="1"/>
    </xf>
    <xf numFmtId="0" fontId="31" fillId="10" borderId="11" xfId="6" applyFont="1" applyFill="1" applyBorder="1" applyAlignment="1">
      <alignment horizontal="center" vertical="center" wrapText="1"/>
    </xf>
    <xf numFmtId="4" fontId="31" fillId="10" borderId="11" xfId="6" applyNumberFormat="1" applyFont="1" applyFill="1" applyBorder="1" applyAlignment="1">
      <alignment horizontal="center" vertical="center" wrapText="1"/>
    </xf>
    <xf numFmtId="0" fontId="32" fillId="0" borderId="6" xfId="6" applyFont="1" applyBorder="1" applyAlignment="1">
      <alignment horizontal="center"/>
    </xf>
    <xf numFmtId="0" fontId="32" fillId="0" borderId="0" xfId="6" applyFont="1" applyBorder="1" applyAlignment="1">
      <alignment horizontal="center"/>
    </xf>
    <xf numFmtId="0" fontId="33" fillId="7" borderId="0" xfId="0" applyFont="1" applyFill="1" applyBorder="1" applyAlignment="1">
      <alignment horizontal="right" vertical="center" wrapText="1"/>
    </xf>
    <xf numFmtId="10" fontId="30" fillId="7" borderId="0" xfId="0" applyNumberFormat="1" applyFont="1" applyFill="1" applyBorder="1" applyAlignment="1">
      <alignment horizontal="left" vertical="top" wrapText="1"/>
    </xf>
    <xf numFmtId="10" fontId="30" fillId="7" borderId="42" xfId="0" applyNumberFormat="1" applyFont="1" applyFill="1" applyBorder="1" applyAlignment="1">
      <alignment horizontal="left" vertical="top" wrapText="1"/>
    </xf>
    <xf numFmtId="0" fontId="32" fillId="0" borderId="17" xfId="6" applyFont="1" applyBorder="1" applyAlignment="1">
      <alignment horizontal="left" vertical="center" wrapText="1"/>
    </xf>
    <xf numFmtId="0" fontId="32" fillId="0" borderId="47" xfId="6" applyFont="1" applyBorder="1" applyAlignment="1">
      <alignment horizontal="left" vertical="center" wrapText="1"/>
    </xf>
    <xf numFmtId="0" fontId="33" fillId="12" borderId="11" xfId="6" applyFont="1" applyFill="1" applyBorder="1" applyAlignment="1">
      <alignment horizontal="center" vertical="center" wrapText="1"/>
    </xf>
    <xf numFmtId="0" fontId="31" fillId="13" borderId="11" xfId="6" applyFont="1" applyFill="1" applyBorder="1" applyAlignment="1">
      <alignment horizontal="center" vertical="center" wrapText="1"/>
    </xf>
    <xf numFmtId="0" fontId="31" fillId="0" borderId="16" xfId="6" applyFont="1" applyBorder="1" applyAlignment="1">
      <alignment horizontal="center" vertical="center"/>
    </xf>
    <xf numFmtId="0" fontId="31" fillId="0" borderId="15" xfId="6" applyFont="1" applyBorder="1" applyAlignment="1">
      <alignment horizontal="center" vertical="center"/>
    </xf>
    <xf numFmtId="0" fontId="31" fillId="0" borderId="14" xfId="6" applyFont="1" applyBorder="1" applyAlignment="1">
      <alignment horizontal="center" vertical="center"/>
    </xf>
    <xf numFmtId="0" fontId="30" fillId="7" borderId="0" xfId="0" applyFont="1" applyFill="1" applyBorder="1" applyAlignment="1">
      <alignment horizontal="left" vertical="top" wrapText="1"/>
    </xf>
    <xf numFmtId="0" fontId="30" fillId="7" borderId="42" xfId="0" applyFont="1" applyFill="1" applyBorder="1" applyAlignment="1">
      <alignment horizontal="left" vertical="top" wrapText="1"/>
    </xf>
    <xf numFmtId="0" fontId="31" fillId="0" borderId="6" xfId="6" applyFont="1" applyBorder="1" applyAlignment="1">
      <alignment horizontal="center" vertical="top" wrapText="1"/>
    </xf>
    <xf numFmtId="0" fontId="31" fillId="0" borderId="0" xfId="6" applyFont="1" applyBorder="1" applyAlignment="1">
      <alignment horizontal="center" vertical="top" wrapText="1"/>
    </xf>
    <xf numFmtId="0" fontId="31" fillId="0" borderId="42" xfId="6" applyFont="1" applyBorder="1" applyAlignment="1">
      <alignment horizontal="center" vertical="top" wrapText="1"/>
    </xf>
    <xf numFmtId="0" fontId="30" fillId="19" borderId="69" xfId="0" applyFont="1" applyFill="1" applyBorder="1" applyAlignment="1">
      <alignment horizontal="left" vertical="center" wrapText="1"/>
    </xf>
    <xf numFmtId="0" fontId="30" fillId="19" borderId="0" xfId="0" applyFont="1" applyFill="1" applyBorder="1" applyAlignment="1">
      <alignment horizontal="left" vertical="center" wrapText="1"/>
    </xf>
    <xf numFmtId="0" fontId="30" fillId="19" borderId="71" xfId="0" applyFont="1" applyFill="1" applyBorder="1" applyAlignment="1">
      <alignment horizontal="left" vertical="center" wrapText="1"/>
    </xf>
    <xf numFmtId="0" fontId="30" fillId="19" borderId="75" xfId="0" applyFont="1" applyFill="1" applyBorder="1" applyAlignment="1">
      <alignment horizontal="left" vertical="center" wrapText="1"/>
    </xf>
    <xf numFmtId="0" fontId="30" fillId="19" borderId="62" xfId="0" applyFont="1" applyFill="1" applyBorder="1" applyAlignment="1">
      <alignment horizontal="left" vertical="center" wrapText="1"/>
    </xf>
    <xf numFmtId="0" fontId="30" fillId="19" borderId="76" xfId="0" applyFont="1" applyFill="1" applyBorder="1" applyAlignment="1">
      <alignment horizontal="left" vertical="center" wrapText="1"/>
    </xf>
    <xf numFmtId="0" fontId="41" fillId="19" borderId="72" xfId="0" applyFont="1" applyFill="1" applyBorder="1" applyAlignment="1">
      <alignment horizontal="left" vertical="center" wrapText="1"/>
    </xf>
    <xf numFmtId="0" fontId="41" fillId="19" borderId="73" xfId="0" applyFont="1" applyFill="1" applyBorder="1" applyAlignment="1">
      <alignment horizontal="left" vertical="center" wrapText="1"/>
    </xf>
    <xf numFmtId="0" fontId="41" fillId="19" borderId="74" xfId="0" applyFont="1" applyFill="1" applyBorder="1" applyAlignment="1">
      <alignment horizontal="left" vertical="center" wrapText="1"/>
    </xf>
    <xf numFmtId="0" fontId="41" fillId="19" borderId="69"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71" xfId="0" applyFont="1" applyFill="1" applyBorder="1" applyAlignment="1">
      <alignment horizontal="left" vertical="center" wrapText="1"/>
    </xf>
    <xf numFmtId="0" fontId="30" fillId="19" borderId="69" xfId="0" applyFont="1" applyFill="1" applyBorder="1" applyAlignment="1">
      <alignment horizontal="left" wrapText="1"/>
    </xf>
    <xf numFmtId="0" fontId="30" fillId="19" borderId="0" xfId="0" applyFont="1" applyFill="1" applyBorder="1" applyAlignment="1">
      <alignment horizontal="left" wrapText="1"/>
    </xf>
    <xf numFmtId="0" fontId="30" fillId="19" borderId="71" xfId="0" applyFont="1" applyFill="1" applyBorder="1" applyAlignment="1">
      <alignment horizontal="left" wrapText="1"/>
    </xf>
    <xf numFmtId="0" fontId="30" fillId="19" borderId="75" xfId="0" applyFont="1" applyFill="1" applyBorder="1" applyAlignment="1">
      <alignment horizontal="left" wrapText="1"/>
    </xf>
    <xf numFmtId="0" fontId="30" fillId="19" borderId="62" xfId="0" applyFont="1" applyFill="1" applyBorder="1" applyAlignment="1">
      <alignment horizontal="left" wrapText="1"/>
    </xf>
    <xf numFmtId="0" fontId="30" fillId="19" borderId="76" xfId="0" applyFont="1" applyFill="1" applyBorder="1" applyAlignment="1">
      <alignment horizontal="left" wrapText="1"/>
    </xf>
    <xf numFmtId="49" fontId="5" fillId="2" borderId="0" xfId="4" applyNumberFormat="1" applyFont="1" applyFill="1" applyBorder="1" applyAlignment="1">
      <alignment horizontal="center" vertical="center" wrapText="1"/>
    </xf>
    <xf numFmtId="0" fontId="3" fillId="7" borderId="54"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55" xfId="0" applyFont="1" applyFill="1" applyBorder="1" applyAlignment="1">
      <alignment horizontal="center" vertical="center"/>
    </xf>
    <xf numFmtId="0" fontId="30" fillId="9" borderId="62" xfId="0" applyFont="1" applyFill="1" applyBorder="1" applyAlignment="1">
      <alignment horizontal="center" wrapText="1"/>
    </xf>
    <xf numFmtId="0" fontId="41" fillId="19" borderId="72" xfId="0" applyFont="1" applyFill="1" applyBorder="1" applyAlignment="1">
      <alignment horizontal="left" wrapText="1"/>
    </xf>
    <xf numFmtId="0" fontId="41" fillId="19" borderId="73" xfId="0" applyFont="1" applyFill="1" applyBorder="1" applyAlignment="1">
      <alignment horizontal="left" wrapText="1"/>
    </xf>
    <xf numFmtId="0" fontId="41" fillId="19" borderId="74" xfId="0" applyFont="1" applyFill="1" applyBorder="1" applyAlignment="1">
      <alignment horizontal="left" wrapText="1"/>
    </xf>
    <xf numFmtId="0" fontId="41" fillId="19" borderId="69" xfId="0" applyFont="1" applyFill="1" applyBorder="1" applyAlignment="1">
      <alignment horizontal="left" wrapText="1"/>
    </xf>
    <xf numFmtId="0" fontId="41" fillId="19" borderId="0" xfId="0" applyFont="1" applyFill="1" applyBorder="1" applyAlignment="1">
      <alignment horizontal="left" wrapText="1"/>
    </xf>
    <xf numFmtId="0" fontId="41" fillId="19" borderId="71" xfId="0" applyFont="1" applyFill="1" applyBorder="1" applyAlignment="1">
      <alignment horizontal="left"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79" xfId="0" applyBorder="1" applyAlignment="1">
      <alignment horizontal="center" vertical="center"/>
    </xf>
    <xf numFmtId="0" fontId="11" fillId="16" borderId="17" xfId="0" applyFont="1" applyFill="1" applyBorder="1" applyAlignment="1">
      <alignment horizontal="left" vertical="top" wrapText="1"/>
    </xf>
    <xf numFmtId="0" fontId="11" fillId="16" borderId="47" xfId="0" applyFont="1" applyFill="1" applyBorder="1" applyAlignment="1">
      <alignment horizontal="left" vertical="top" wrapText="1"/>
    </xf>
    <xf numFmtId="0" fontId="12" fillId="6" borderId="15" xfId="0" applyFont="1" applyFill="1" applyBorder="1" applyAlignment="1">
      <alignment horizontal="center" vertical="center"/>
    </xf>
    <xf numFmtId="0" fontId="12" fillId="6" borderId="14" xfId="0" applyFont="1" applyFill="1" applyBorder="1" applyAlignment="1">
      <alignment horizontal="center" vertical="center"/>
    </xf>
    <xf numFmtId="0" fontId="4" fillId="0" borderId="8" xfId="0" applyFont="1" applyBorder="1" applyAlignment="1">
      <alignment horizontal="center" vertical="top"/>
    </xf>
    <xf numFmtId="0" fontId="8" fillId="0" borderId="31" xfId="0" applyFont="1" applyBorder="1" applyAlignment="1">
      <alignment horizontal="left" vertical="center" wrapText="1"/>
    </xf>
    <xf numFmtId="0" fontId="8" fillId="0" borderId="58" xfId="0" applyFont="1" applyBorder="1" applyAlignment="1">
      <alignment horizontal="left" vertical="center" wrapText="1"/>
    </xf>
    <xf numFmtId="0" fontId="15" fillId="6" borderId="21" xfId="0" applyFont="1" applyFill="1" applyBorder="1" applyAlignment="1">
      <alignment horizontal="left" vertical="center"/>
    </xf>
    <xf numFmtId="0" fontId="15" fillId="6" borderId="20" xfId="0" applyFont="1" applyFill="1" applyBorder="1" applyAlignment="1">
      <alignment horizontal="left" vertical="center"/>
    </xf>
    <xf numFmtId="0" fontId="5" fillId="0" borderId="8" xfId="0" applyFont="1" applyBorder="1" applyAlignment="1">
      <alignment horizontal="left" vertical="top" wrapText="1"/>
    </xf>
    <xf numFmtId="0" fontId="5" fillId="0" borderId="41" xfId="0" applyFont="1" applyBorder="1" applyAlignment="1">
      <alignment horizontal="left" vertical="top" wrapText="1"/>
    </xf>
    <xf numFmtId="0" fontId="24" fillId="12" borderId="0" xfId="8" applyFont="1" applyFill="1" applyAlignment="1" applyProtection="1">
      <alignment horizontal="center" vertical="center"/>
      <protection hidden="1"/>
    </xf>
    <xf numFmtId="0" fontId="25" fillId="12" borderId="0" xfId="8" applyFont="1" applyFill="1" applyAlignment="1" applyProtection="1">
      <alignment horizontal="center" vertical="center"/>
      <protection hidden="1"/>
    </xf>
    <xf numFmtId="0" fontId="5" fillId="2" borderId="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2" xfId="0" applyFont="1" applyFill="1" applyBorder="1" applyAlignment="1">
      <alignment horizontal="center" vertical="center"/>
    </xf>
    <xf numFmtId="0" fontId="12" fillId="6" borderId="8" xfId="0" applyFont="1" applyFill="1" applyBorder="1" applyAlignment="1">
      <alignment horizontal="center" vertical="center"/>
    </xf>
    <xf numFmtId="0" fontId="5" fillId="2" borderId="0" xfId="0" applyFont="1" applyFill="1" applyAlignment="1">
      <alignment horizontal="center" vertical="center"/>
    </xf>
    <xf numFmtId="0" fontId="11" fillId="16" borderId="0" xfId="0" applyFont="1" applyFill="1" applyAlignment="1">
      <alignment horizontal="left" vertical="top" wrapText="1"/>
    </xf>
    <xf numFmtId="0" fontId="20" fillId="16" borderId="1" xfId="0" applyFont="1" applyFill="1" applyBorder="1" applyAlignment="1">
      <alignment horizontal="left" vertical="top" wrapText="1"/>
    </xf>
    <xf numFmtId="0" fontId="4" fillId="0" borderId="40" xfId="0" applyFont="1" applyBorder="1" applyAlignment="1">
      <alignment horizontal="center" vertical="top"/>
    </xf>
    <xf numFmtId="0" fontId="4" fillId="0" borderId="37" xfId="0" applyFont="1" applyBorder="1" applyAlignment="1">
      <alignment horizontal="center" vertical="top"/>
    </xf>
    <xf numFmtId="0" fontId="4" fillId="0" borderId="34" xfId="0" applyFont="1" applyBorder="1" applyAlignment="1">
      <alignment horizontal="center" vertical="top"/>
    </xf>
    <xf numFmtId="0" fontId="5" fillId="0" borderId="39" xfId="0" applyFont="1" applyBorder="1" applyAlignment="1">
      <alignment horizontal="center" vertical="top" wrapText="1"/>
    </xf>
    <xf numFmtId="0" fontId="5" fillId="0" borderId="38" xfId="0" applyFont="1" applyBorder="1" applyAlignment="1">
      <alignment horizontal="center" vertical="top" wrapText="1"/>
    </xf>
    <xf numFmtId="0" fontId="5" fillId="0" borderId="36" xfId="0" applyFont="1" applyBorder="1" applyAlignment="1">
      <alignment horizontal="center" vertical="top" wrapText="1"/>
    </xf>
    <xf numFmtId="0" fontId="5" fillId="0" borderId="35" xfId="0" applyFont="1" applyBorder="1" applyAlignment="1">
      <alignment horizontal="center" vertical="top" wrapText="1"/>
    </xf>
    <xf numFmtId="0" fontId="5" fillId="0" borderId="33" xfId="0" applyFont="1" applyBorder="1" applyAlignment="1">
      <alignment horizontal="center" vertical="top" wrapText="1"/>
    </xf>
    <xf numFmtId="0" fontId="5" fillId="0" borderId="32" xfId="0" applyFont="1" applyBorder="1" applyAlignment="1">
      <alignment horizontal="center" vertical="top" wrapText="1"/>
    </xf>
  </cellXfs>
  <cellStyles count="12">
    <cellStyle name="Moeda" xfId="1" builtinId="4"/>
    <cellStyle name="Moeda 4" xfId="10"/>
    <cellStyle name="Normal" xfId="0" builtinId="0"/>
    <cellStyle name="Normal 2 2" xfId="6"/>
    <cellStyle name="Normal 3 2" xfId="8"/>
    <cellStyle name="Normal 4" xfId="4"/>
    <cellStyle name="Normal 48" xfId="11"/>
    <cellStyle name="Normal 5" xfId="5"/>
    <cellStyle name="Normal 6" xfId="7"/>
    <cellStyle name="Porcentagem" xfId="2" builtinId="5"/>
    <cellStyle name="Vírgula" xfId="9" builtinId="3"/>
    <cellStyle name="Vírgula 3 2 2 2" xfId="3"/>
  </cellStyles>
  <dxfs count="165">
    <dxf>
      <font>
        <color theme="0"/>
      </font>
    </dxf>
    <dxf>
      <fill>
        <patternFill>
          <fgColor indexed="64"/>
          <bgColor theme="8" tint="0.59996337778862885"/>
        </patternFill>
      </fill>
    </dxf>
    <dxf>
      <fill>
        <patternFill>
          <fgColor indexed="64"/>
          <bgColor theme="8" tint="0.59996337778862885"/>
        </patternFill>
      </fill>
    </dxf>
    <dxf>
      <fill>
        <patternFill>
          <fgColor indexed="64"/>
          <bgColor theme="8" tint="0.59996337778862885"/>
        </patternFill>
      </fill>
    </dxf>
    <dxf>
      <font>
        <color theme="0"/>
      </font>
    </dxf>
    <dxf>
      <font>
        <color theme="0"/>
      </font>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7.5"/>
        <name val="Calibri"/>
        <scheme val="minor"/>
      </font>
      <alignment horizontal="right" vertical="center" textRotation="0" wrapText="0" indent="0" justifyLastLine="0" shrinkToFit="0" readingOrder="0"/>
      <border outline="0">
        <left style="double">
          <color auto="1"/>
        </left>
      </border>
    </dxf>
    <dxf>
      <font>
        <b val="0"/>
        <i val="0"/>
        <strike val="0"/>
        <condense val="0"/>
        <extend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style="double">
          <color auto="1"/>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bottom" textRotation="0" wrapText="0" indent="0" justifyLastLine="0" shrinkToFit="0" readingOrder="0"/>
      <border diagonalUp="0" diagonalDown="0" outline="0">
        <left style="double">
          <color theme="0"/>
        </left>
        <right/>
        <top style="thin">
          <color auto="1"/>
        </top>
        <bottom style="thin">
          <color auto="1"/>
        </bottom>
      </border>
    </dxf>
    <dxf>
      <font>
        <strike val="0"/>
        <outline val="0"/>
        <shadow val="0"/>
        <u val="none"/>
        <vertAlign val="baseline"/>
        <sz val="7.5"/>
        <color theme="1"/>
        <name val="Calibri"/>
        <scheme val="minor"/>
      </font>
      <numFmt numFmtId="0" formatCode="General"/>
      <alignment horizontal="left" vertical="bottom"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13" formatCode="0%"/>
      <alignment horizontal="center" vertical="top"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numFmt numFmtId="34" formatCode="_-&quot;R$&quot;\ * #,##0.00_-;\-&quot;R$&quot;\ * #,##0.00_-;_-&quot;R$&quot;\ * &quot;-&quot;??_-;_-@_-"/>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right" vertical="center" textRotation="0" wrapText="0" indent="0" justifyLastLine="0" shrinkToFit="0" readingOrder="0"/>
    </dxf>
    <dxf>
      <font>
        <strike val="0"/>
        <outline val="0"/>
        <shadow val="0"/>
        <u val="none"/>
        <vertAlign val="baseline"/>
        <sz val="7.5"/>
        <name val="Calibri"/>
        <scheme val="minor"/>
      </font>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7.5"/>
        <color theme="1"/>
        <name val="Calibri"/>
        <scheme val="minor"/>
      </font>
      <alignment horizontal="center" vertical="bottom" textRotation="0" wrapText="0" indent="0" justifyLastLine="0" shrinkToFit="0" readingOrder="0"/>
      <border diagonalUp="0" diagonalDown="0" outline="0">
        <left style="double">
          <color auto="1"/>
        </left>
        <right/>
        <top style="thin">
          <color auto="1"/>
        </top>
        <bottom style="thin">
          <color auto="1"/>
        </bottom>
      </border>
    </dxf>
    <dxf>
      <font>
        <strike val="0"/>
        <outline val="0"/>
        <shadow val="0"/>
        <u val="none"/>
        <vertAlign val="baseline"/>
        <sz val="7.5"/>
        <name val="Calibri"/>
        <scheme val="minor"/>
      </font>
      <alignment textRotation="0" wrapText="0" indent="0" justifyLastLine="0" shrinkToFit="0" readingOrder="0"/>
    </dxf>
    <dxf>
      <font>
        <b val="0"/>
        <i val="0"/>
        <strike val="0"/>
        <condense val="0"/>
        <extend val="0"/>
        <outline val="0"/>
        <shadow val="0"/>
        <u val="none"/>
        <vertAlign val="baseline"/>
        <sz val="7.5"/>
        <color theme="1"/>
        <name val="Calibri"/>
        <scheme val="minor"/>
      </font>
      <alignment horizontal="center" vertical="center" textRotation="0" wrapText="0"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89772</xdr:colOff>
      <xdr:row>0</xdr:row>
      <xdr:rowOff>74735</xdr:rowOff>
    </xdr:from>
    <xdr:ext cx="642921" cy="496765"/>
    <xdr:pic>
      <xdr:nvPicPr>
        <xdr:cNvPr id="2" name="Imagem 1">
          <a:extLst>
            <a:ext uri="{FF2B5EF4-FFF2-40B4-BE49-F238E27FC236}">
              <a16:creationId xmlns:a16="http://schemas.microsoft.com/office/drawing/2014/main" id="{1564CD1E-62B8-4B94-928D-0CF89069D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72" y="74735"/>
          <a:ext cx="642921" cy="4967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112058</xdr:colOff>
      <xdr:row>0</xdr:row>
      <xdr:rowOff>126998</xdr:rowOff>
    </xdr:from>
    <xdr:ext cx="694765" cy="604833"/>
    <xdr:pic>
      <xdr:nvPicPr>
        <xdr:cNvPr id="2" name="Image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94765"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94765" cy="604833"/>
    <xdr:pic>
      <xdr:nvPicPr>
        <xdr:cNvPr id="3" name="Imagem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94765"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112059</xdr:colOff>
      <xdr:row>0</xdr:row>
      <xdr:rowOff>126999</xdr:rowOff>
    </xdr:from>
    <xdr:ext cx="617220" cy="541078"/>
    <xdr:pic>
      <xdr:nvPicPr>
        <xdr:cNvPr id="2" name="Imagem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126999"/>
          <a:ext cx="617220" cy="541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112059</xdr:colOff>
      <xdr:row>0</xdr:row>
      <xdr:rowOff>126999</xdr:rowOff>
    </xdr:from>
    <xdr:ext cx="617220" cy="541078"/>
    <xdr:pic>
      <xdr:nvPicPr>
        <xdr:cNvPr id="3" name="Imagem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126999"/>
          <a:ext cx="617220" cy="541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112058</xdr:colOff>
      <xdr:row>0</xdr:row>
      <xdr:rowOff>126998</xdr:rowOff>
    </xdr:from>
    <xdr:ext cx="681131" cy="604833"/>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1131"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80832" cy="604833"/>
    <xdr:pic>
      <xdr:nvPicPr>
        <xdr:cNvPr id="3" name="Imagem 2">
          <a:extLst>
            <a:ext uri="{FF2B5EF4-FFF2-40B4-BE49-F238E27FC236}">
              <a16:creationId xmlns:a16="http://schemas.microsoft.com/office/drawing/2014/main" id="{2AB28F4D-4881-4938-AB7C-93A68D380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0832"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81131" cy="604833"/>
    <xdr:pic>
      <xdr:nvPicPr>
        <xdr:cNvPr id="4" name="Imagem 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1131"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80832" cy="604833"/>
    <xdr:pic>
      <xdr:nvPicPr>
        <xdr:cNvPr id="5" name="Imagem 4">
          <a:extLst>
            <a:ext uri="{FF2B5EF4-FFF2-40B4-BE49-F238E27FC236}">
              <a16:creationId xmlns:a16="http://schemas.microsoft.com/office/drawing/2014/main" id="{2AB28F4D-4881-4938-AB7C-93A68D380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0832"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81131" cy="604833"/>
    <xdr:pic>
      <xdr:nvPicPr>
        <xdr:cNvPr id="6" name="Imagem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1131"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112058</xdr:colOff>
      <xdr:row>0</xdr:row>
      <xdr:rowOff>126998</xdr:rowOff>
    </xdr:from>
    <xdr:ext cx="680832" cy="604833"/>
    <xdr:pic>
      <xdr:nvPicPr>
        <xdr:cNvPr id="7" name="Imagem 6">
          <a:extLst>
            <a:ext uri="{FF2B5EF4-FFF2-40B4-BE49-F238E27FC236}">
              <a16:creationId xmlns:a16="http://schemas.microsoft.com/office/drawing/2014/main" id="{2AB28F4D-4881-4938-AB7C-93A68D380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8" y="126998"/>
          <a:ext cx="680832" cy="604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48637</xdr:colOff>
      <xdr:row>0</xdr:row>
      <xdr:rowOff>145913</xdr:rowOff>
    </xdr:from>
    <xdr:ext cx="617220" cy="525700"/>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3" name="Imagem 2">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7727"/>
    <xdr:pic>
      <xdr:nvPicPr>
        <xdr:cNvPr id="4" name="Imagem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7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7727"/>
    <xdr:pic>
      <xdr:nvPicPr>
        <xdr:cNvPr id="5" name="Imagem 4">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7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6" name="Imagem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7" name="Imagem 6">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334157</xdr:colOff>
      <xdr:row>0</xdr:row>
      <xdr:rowOff>59687</xdr:rowOff>
    </xdr:from>
    <xdr:ext cx="581708" cy="475179"/>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888" y="59687"/>
          <a:ext cx="581708" cy="4751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11</xdr:col>
      <xdr:colOff>28575</xdr:colOff>
      <xdr:row>22</xdr:row>
      <xdr:rowOff>73819</xdr:rowOff>
    </xdr:from>
    <xdr:to>
      <xdr:col>11</xdr:col>
      <xdr:colOff>740569</xdr:colOff>
      <xdr:row>23</xdr:row>
      <xdr:rowOff>340519</xdr:rowOff>
    </xdr:to>
    <xdr:sp macro="[36]!novo_mapa" textlink="">
      <xdr:nvSpPr>
        <xdr:cNvPr id="2" name="Retângulo 1"/>
        <xdr:cNvSpPr/>
      </xdr:nvSpPr>
      <xdr:spPr>
        <a:xfrm>
          <a:off x="10020300" y="158829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33</xdr:row>
      <xdr:rowOff>73819</xdr:rowOff>
    </xdr:from>
    <xdr:to>
      <xdr:col>11</xdr:col>
      <xdr:colOff>740569</xdr:colOff>
      <xdr:row>34</xdr:row>
      <xdr:rowOff>340519</xdr:rowOff>
    </xdr:to>
    <xdr:sp macro="[36]!novo_mapa" textlink="">
      <xdr:nvSpPr>
        <xdr:cNvPr id="3" name="Retângulo 2"/>
        <xdr:cNvSpPr/>
      </xdr:nvSpPr>
      <xdr:spPr>
        <a:xfrm>
          <a:off x="10020300" y="39695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44</xdr:row>
      <xdr:rowOff>73819</xdr:rowOff>
    </xdr:from>
    <xdr:to>
      <xdr:col>11</xdr:col>
      <xdr:colOff>740569</xdr:colOff>
      <xdr:row>45</xdr:row>
      <xdr:rowOff>340519</xdr:rowOff>
    </xdr:to>
    <xdr:sp macro="[36]!novo_mapa" textlink="">
      <xdr:nvSpPr>
        <xdr:cNvPr id="4" name="Retângulo 3"/>
        <xdr:cNvSpPr/>
      </xdr:nvSpPr>
      <xdr:spPr>
        <a:xfrm>
          <a:off x="10020300" y="635079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55</xdr:row>
      <xdr:rowOff>73819</xdr:rowOff>
    </xdr:from>
    <xdr:to>
      <xdr:col>11</xdr:col>
      <xdr:colOff>740569</xdr:colOff>
      <xdr:row>56</xdr:row>
      <xdr:rowOff>340519</xdr:rowOff>
    </xdr:to>
    <xdr:sp macro="[36]!novo_mapa" textlink="">
      <xdr:nvSpPr>
        <xdr:cNvPr id="5" name="Retângulo 4"/>
        <xdr:cNvSpPr/>
      </xdr:nvSpPr>
      <xdr:spPr>
        <a:xfrm>
          <a:off x="10020300" y="87320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66</xdr:row>
      <xdr:rowOff>73819</xdr:rowOff>
    </xdr:from>
    <xdr:to>
      <xdr:col>11</xdr:col>
      <xdr:colOff>740569</xdr:colOff>
      <xdr:row>67</xdr:row>
      <xdr:rowOff>340519</xdr:rowOff>
    </xdr:to>
    <xdr:sp macro="[36]!novo_mapa" textlink="">
      <xdr:nvSpPr>
        <xdr:cNvPr id="6" name="Retângulo 5"/>
        <xdr:cNvSpPr/>
      </xdr:nvSpPr>
      <xdr:spPr>
        <a:xfrm>
          <a:off x="10020300" y="1111329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77</xdr:row>
      <xdr:rowOff>73819</xdr:rowOff>
    </xdr:from>
    <xdr:to>
      <xdr:col>11</xdr:col>
      <xdr:colOff>740569</xdr:colOff>
      <xdr:row>78</xdr:row>
      <xdr:rowOff>340519</xdr:rowOff>
    </xdr:to>
    <xdr:sp macro="[36]!novo_mapa" textlink="">
      <xdr:nvSpPr>
        <xdr:cNvPr id="7" name="Retângulo 6"/>
        <xdr:cNvSpPr/>
      </xdr:nvSpPr>
      <xdr:spPr>
        <a:xfrm>
          <a:off x="10020300" y="134945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88</xdr:row>
      <xdr:rowOff>73819</xdr:rowOff>
    </xdr:from>
    <xdr:to>
      <xdr:col>11</xdr:col>
      <xdr:colOff>740569</xdr:colOff>
      <xdr:row>89</xdr:row>
      <xdr:rowOff>340519</xdr:rowOff>
    </xdr:to>
    <xdr:sp macro="[36]!novo_mapa" textlink="">
      <xdr:nvSpPr>
        <xdr:cNvPr id="8" name="Retângulo 7"/>
        <xdr:cNvSpPr/>
      </xdr:nvSpPr>
      <xdr:spPr>
        <a:xfrm>
          <a:off x="10020300" y="1587579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99</xdr:row>
      <xdr:rowOff>73819</xdr:rowOff>
    </xdr:from>
    <xdr:to>
      <xdr:col>11</xdr:col>
      <xdr:colOff>740569</xdr:colOff>
      <xdr:row>100</xdr:row>
      <xdr:rowOff>340519</xdr:rowOff>
    </xdr:to>
    <xdr:sp macro="[36]!novo_mapa" textlink="">
      <xdr:nvSpPr>
        <xdr:cNvPr id="9" name="Retângulo 8"/>
        <xdr:cNvSpPr/>
      </xdr:nvSpPr>
      <xdr:spPr>
        <a:xfrm>
          <a:off x="10020300" y="182570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110</xdr:row>
      <xdr:rowOff>73819</xdr:rowOff>
    </xdr:from>
    <xdr:to>
      <xdr:col>11</xdr:col>
      <xdr:colOff>740569</xdr:colOff>
      <xdr:row>111</xdr:row>
      <xdr:rowOff>340519</xdr:rowOff>
    </xdr:to>
    <xdr:sp macro="[36]!novo_mapa" textlink="">
      <xdr:nvSpPr>
        <xdr:cNvPr id="10" name="Retângulo 9"/>
        <xdr:cNvSpPr/>
      </xdr:nvSpPr>
      <xdr:spPr>
        <a:xfrm>
          <a:off x="10020300" y="2063829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121</xdr:row>
      <xdr:rowOff>73819</xdr:rowOff>
    </xdr:from>
    <xdr:to>
      <xdr:col>11</xdr:col>
      <xdr:colOff>740569</xdr:colOff>
      <xdr:row>122</xdr:row>
      <xdr:rowOff>340519</xdr:rowOff>
    </xdr:to>
    <xdr:sp macro="[36]!novo_mapa" textlink="">
      <xdr:nvSpPr>
        <xdr:cNvPr id="11" name="Retângulo 10"/>
        <xdr:cNvSpPr/>
      </xdr:nvSpPr>
      <xdr:spPr>
        <a:xfrm>
          <a:off x="10020300" y="230195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132</xdr:row>
      <xdr:rowOff>73819</xdr:rowOff>
    </xdr:from>
    <xdr:to>
      <xdr:col>11</xdr:col>
      <xdr:colOff>740569</xdr:colOff>
      <xdr:row>133</xdr:row>
      <xdr:rowOff>340519</xdr:rowOff>
    </xdr:to>
    <xdr:sp macro="[36]!novo_mapa" textlink="">
      <xdr:nvSpPr>
        <xdr:cNvPr id="12" name="Retângulo 11"/>
        <xdr:cNvSpPr/>
      </xdr:nvSpPr>
      <xdr:spPr>
        <a:xfrm>
          <a:off x="10020300" y="25410319"/>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twoCellAnchor>
    <xdr:from>
      <xdr:col>11</xdr:col>
      <xdr:colOff>28575</xdr:colOff>
      <xdr:row>143</xdr:row>
      <xdr:rowOff>73819</xdr:rowOff>
    </xdr:from>
    <xdr:to>
      <xdr:col>11</xdr:col>
      <xdr:colOff>740569</xdr:colOff>
      <xdr:row>144</xdr:row>
      <xdr:rowOff>340519</xdr:rowOff>
    </xdr:to>
    <xdr:sp macro="[36]!novo_mapa" textlink="">
      <xdr:nvSpPr>
        <xdr:cNvPr id="13" name="Retângulo 12"/>
        <xdr:cNvSpPr/>
      </xdr:nvSpPr>
      <xdr:spPr>
        <a:xfrm>
          <a:off x="10020300" y="27972544"/>
          <a:ext cx="711994" cy="466725"/>
        </a:xfrm>
        <a:prstGeom prst="rect">
          <a:avLst/>
        </a:prstGeom>
        <a:solidFill>
          <a:schemeClr val="accent6">
            <a:lumMod val="50000"/>
          </a:schemeClr>
        </a:solidFill>
        <a:ln w="38100" cmpd="dbl">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0" cap="none" spc="0">
              <a:ln w="0"/>
              <a:solidFill>
                <a:schemeClr val="bg1"/>
              </a:solidFill>
              <a:effectLst>
                <a:outerShdw blurRad="38100" dist="19050" dir="2700000" algn="tl" rotWithShape="0">
                  <a:schemeClr val="dk1">
                    <a:alpha val="40000"/>
                  </a:schemeClr>
                </a:outerShdw>
              </a:effectLst>
            </a:rPr>
            <a:t>NOVO MAPA</a:t>
          </a:r>
        </a:p>
      </xdr:txBody>
    </xdr:sp>
    <xdr:clientData/>
  </xdr:twoCellAnchor>
  <xdr:oneCellAnchor>
    <xdr:from>
      <xdr:col>0</xdr:col>
      <xdr:colOff>48637</xdr:colOff>
      <xdr:row>0</xdr:row>
      <xdr:rowOff>145913</xdr:rowOff>
    </xdr:from>
    <xdr:ext cx="617220" cy="525700"/>
    <xdr:pic>
      <xdr:nvPicPr>
        <xdr:cNvPr id="20" name="Imagem 19">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21" name="Imagem 20">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7727"/>
    <xdr:pic>
      <xdr:nvPicPr>
        <xdr:cNvPr id="22" name="Imagem 2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7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7727"/>
    <xdr:pic>
      <xdr:nvPicPr>
        <xdr:cNvPr id="23" name="Imagem 22">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7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24" name="Imagem 2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48637</xdr:colOff>
      <xdr:row>0</xdr:row>
      <xdr:rowOff>145913</xdr:rowOff>
    </xdr:from>
    <xdr:ext cx="617220" cy="525700"/>
    <xdr:pic>
      <xdr:nvPicPr>
        <xdr:cNvPr id="25" name="Imagem 24">
          <a:extLst>
            <a:ext uri="{FF2B5EF4-FFF2-40B4-BE49-F238E27FC236}">
              <a16:creationId xmlns:a16="http://schemas.microsoft.com/office/drawing/2014/main" id="{C1477B7F-0D30-4A8B-975F-F9D163453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37" y="145913"/>
          <a:ext cx="617220" cy="52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352425</xdr:colOff>
      <xdr:row>22</xdr:row>
      <xdr:rowOff>133350</xdr:rowOff>
    </xdr:from>
    <xdr:to>
      <xdr:col>5</xdr:col>
      <xdr:colOff>171450</xdr:colOff>
      <xdr:row>26</xdr:row>
      <xdr:rowOff>123825</xdr:rowOff>
    </xdr:to>
    <xdr:grpSp>
      <xdr:nvGrpSpPr>
        <xdr:cNvPr id="2" name="Grupo 1"/>
        <xdr:cNvGrpSpPr>
          <a:grpSpLocks/>
        </xdr:cNvGrpSpPr>
      </xdr:nvGrpSpPr>
      <xdr:grpSpPr bwMode="auto">
        <a:xfrm>
          <a:off x="504825" y="5153025"/>
          <a:ext cx="5086350" cy="752475"/>
          <a:chOff x="914400" y="3448050"/>
          <a:chExt cx="5086350" cy="752475"/>
        </a:xfrm>
      </xdr:grpSpPr>
      <xdr:pic>
        <xdr:nvPicPr>
          <xdr:cNvPr id="3"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3448050"/>
            <a:ext cx="45243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m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752850"/>
            <a:ext cx="2571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m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9775" y="3667125"/>
            <a:ext cx="1809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1</xdr:col>
      <xdr:colOff>68463</xdr:colOff>
      <xdr:row>0</xdr:row>
      <xdr:rowOff>50664</xdr:rowOff>
    </xdr:from>
    <xdr:ext cx="982534" cy="547181"/>
    <xdr:pic>
      <xdr:nvPicPr>
        <xdr:cNvPr id="6" name="Imagem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063" y="50664"/>
          <a:ext cx="982534" cy="54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352425</xdr:colOff>
      <xdr:row>23</xdr:row>
      <xdr:rowOff>133350</xdr:rowOff>
    </xdr:from>
    <xdr:to>
      <xdr:col>5</xdr:col>
      <xdr:colOff>171450</xdr:colOff>
      <xdr:row>27</xdr:row>
      <xdr:rowOff>123825</xdr:rowOff>
    </xdr:to>
    <xdr:grpSp>
      <xdr:nvGrpSpPr>
        <xdr:cNvPr id="2" name="Grupo 1">
          <a:extLst>
            <a:ext uri="{FF2B5EF4-FFF2-40B4-BE49-F238E27FC236}">
              <a16:creationId xmlns:a16="http://schemas.microsoft.com/office/drawing/2014/main" id="{153049F3-45E2-4249-88A4-25AF0B4AEB7F}"/>
            </a:ext>
          </a:extLst>
        </xdr:cNvPr>
        <xdr:cNvGrpSpPr/>
      </xdr:nvGrpSpPr>
      <xdr:grpSpPr>
        <a:xfrm>
          <a:off x="504825" y="4648200"/>
          <a:ext cx="5210175" cy="752475"/>
          <a:chOff x="914400" y="3448050"/>
          <a:chExt cx="5086350" cy="752475"/>
        </a:xfrm>
      </xdr:grpSpPr>
      <xdr:pic>
        <xdr:nvPicPr>
          <xdr:cNvPr id="3" name="Imagem 2">
            <a:extLst>
              <a:ext uri="{FF2B5EF4-FFF2-40B4-BE49-F238E27FC236}">
                <a16:creationId xmlns:a16="http://schemas.microsoft.com/office/drawing/2014/main" id="{20E269D3-6A08-4DA3-A014-A526DA791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3448050"/>
            <a:ext cx="4524375"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m 3">
            <a:extLst>
              <a:ext uri="{FF2B5EF4-FFF2-40B4-BE49-F238E27FC236}">
                <a16:creationId xmlns:a16="http://schemas.microsoft.com/office/drawing/2014/main" id="{2D17E3A5-4961-489A-8BEE-FB56246F3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752850"/>
            <a:ext cx="257175" cy="2000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m 4">
            <a:extLst>
              <a:ext uri="{FF2B5EF4-FFF2-40B4-BE49-F238E27FC236}">
                <a16:creationId xmlns:a16="http://schemas.microsoft.com/office/drawing/2014/main" id="{CFFAB3A8-B0E9-4A92-A293-C422239A8B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9775" y="3667125"/>
            <a:ext cx="180975" cy="2381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xdr:col>
      <xdr:colOff>219076</xdr:colOff>
      <xdr:row>0</xdr:row>
      <xdr:rowOff>61545</xdr:rowOff>
    </xdr:from>
    <xdr:ext cx="520064" cy="532815"/>
    <xdr:pic>
      <xdr:nvPicPr>
        <xdr:cNvPr id="6" name="Imagem 5">
          <a:extLst>
            <a:ext uri="{FF2B5EF4-FFF2-40B4-BE49-F238E27FC236}">
              <a16:creationId xmlns:a16="http://schemas.microsoft.com/office/drawing/2014/main" id="{5DA212DE-6641-4D21-8EC0-1C857EBF7E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6" y="61545"/>
          <a:ext cx="520064" cy="5328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IZ\C_LUIZ\Arq_Excel\SID_NI_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6.0.250\DIOR\OR&#199;AMENTO%20CONTROLE%202\OR&#199;AMENTO%20PRA&#199;AS\ACADEMIAS%20DE%20SAUDE%20AO%20AR%20LIVRE\ACADEMIA%20DE%20SAUDE%20-%20PRA&#199;A%20AERO%20RANCHO\ACADEMIA%20%20DE%20SA&#218;DE%20AERO%20RANCHO%20A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6.0.250\DIOR\OR&#199;AMENTO%20CONTROLE%202\MANUTEN&#199;AO%20DE%20VIAS%20E%20LIMPEZA\TAPA%20BURACO\TAPA%20BURACO%20-%20ANHANDUIZINH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6.0.250\DIOR\OR&#199;AMENTO%20CONTROLE%202\READEQUA&#199;&#195;O%20DE%20PRE&#199;OS%20UNIT&#193;RIOS\READEQ%20PRE&#199;O%20UNITARIO%20COOPHAVILA%20II\READEQ%20PRE&#199;O%20UNITARIO%20COOPHAVILA%20II%20-%20F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6.0.250\DIOR\OR&#199;AMENTO%20CONTROLE%202\OR&#199;AMENTO%20SAUDE\UPA%20VILA%20ALMEIDA\OR&#199;AMENTO%20REFORMA%2030_01_2017\OR&#199;AMENTO\REFORMA%20UPA%20VILA%20ALMEIDA%20M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DIOR\OR&#199;AMENTO%20CONTROLE%202\OR&#199;AMENTO%20SAUDE\UPA%20VILA%20ALMEIDA\OR&#199;AMENTO%20REFORMA%2030_01_2017\OR&#199;AMENTO\REFORMA%20UPA%20VILA%20ALMEIDA%20M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sergio.sampaio\Documents\PATOS\PATO_BR_267_JUL_2014\PATO%20BR-267%20JUL_14_Corrigi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DIAF\Thiago\TUDO%20JUNTO\0.7%20-%20INFRAESTRUTURA\COMPOSI&#199;&#195;O%20REBAIXO%20DE%20CAL&#199;ADA\or&#231;amentos%20elaborados\ESCOLA%20MODELO%20MATA%20DO%20JACINTO\IMPLANTA&#199;&#195;O%20ESCOLA%20PADR&#195;O%20MATA%20DO%20JACINT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6.0.250\DIAF\Thiago\TUDO%20JUNTO\0.7%20-%20INFRAESTRUTURA\COMPOSI&#199;&#195;O%20REBAIXO%20DE%20CAL&#199;ADA\or&#231;amentos%20elaborados\ESCOLA%20MODELO%20MATA%20DO%20JACINTO\IMPLANTA&#199;&#195;O%20ESCOLA%20PADR&#195;O%20MATA%20DO%20JACINT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6.0.250\Meus%20documentos%20Rutenio\SEINTRHA\MANUTEN&#199;&#195;O%20DE%20VIAS%20PUBLICAS\OR&#199;AMENTO%20MANUTEN&#199;AO%20EMERGENCI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6.0.250\PUBLICO\Or&#231;amento\_CONCORRENCIA%20&#193;REAS\Anhanduizinho%20II\Meus%20documentos%20Rutenio\SEINTRHA\JOS&#201;%20OTAVIO%20GUIZZO\OR&#199;AMENTO%20LICITA&#199;&#195;O%20GJ3%20OTAVIO%20GUIZO%20V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10\server\PAVITEC\PAVITEC\PAVITEC\04%20-%20Pavitec\OBRAS\LICITA&#199;&#195;O\Federal\DNIT\74_2015\Projetos_edital0074_15-19_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6.0.250\Arquivos2\Jack_Bauer\SEINTRHA\LICITA&#199;&#195;O%20PRA&#199;AS\OR&#199;AMENTO%20REGI&#213;ES%20NOVO\LICITA&#199;&#195;O%20PRA&#199;AS\OR&#199;AMENTO\LICITA&#199;&#195;O%20PRA&#199;AS\OR&#199;AMENTO\Meus%20documentos%20Rutenio\SEINTRHA\JOS&#201;%20OTAVIO%20GUIZZO\OR&#199;AMENTO%20LICITA&#199;&#195;O%20GJ3%20OTAVIO%20GUIZO%20V4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j249w.pmcg.imti\setores_secomp\Users\User\Desktop\PLANILHA\ZANATA\1%20EXEMPLOS\OR&#199;AMENTO%20REFORMA%20COMUNICA&#199;&#195;O%20V20-AR%20CONDICIONAD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DOCUME~1\RAPHAE~1.POR\CONFIG~1\Temp\Rar$DI00.610\Acabamentos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j249w.pmcg.imti\setores_secomp\Temp\Rar$DI00.610\Acabamentos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6.0.250\Temp\Rar$DI00.610\Acabamentos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6.0.250\Users\luiz.vpereira\Desktop\OBRAS\COMPOSI&#199;&#195;O\LISTA%20DE%20COMP\NOVA\COMPOSI&#199;&#213;ES%20DIVERSAS%20-%20ELETRIC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6.0.250\DIOR\OR&#199;AMENTO%20CONTROLE%202\READEQUA&#199;&#195;O%20DE%20PRE&#199;OS%20UNIT&#193;RIOS\CEINF%20S&#195;O%20CONRADO\CEINF%20S&#195;O%20CONRADO%20V6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6.0.250\Meus%20documentos%20Rutenio\_PROJETO%20CAMPO%20GRANDE\ODENIR\CRAS\OR&#199;AMENTO%20CRAS%20CORRE&#199;&#195;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j249w.pmcg.imti\setores_secomp\DIOR\OR&#199;AMENTO%20CONTROLE%202\COMPOSI&#199;&#195;O\COMPOSI&#199;&#195;O%20-%20LUIZ\or&#231;amentos%20elaborados\ESCOLA%20MODELO%20MATA%20DO%20JACINTO\IMPLANTA&#199;&#195;O%20ESCOLA%20PADR&#195;O%20MATA%20DO%20JACINT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6.0.250\DIOR\OR&#199;AMENTO%20CONTROLE%202\COMPOSI&#199;&#195;O\COMPOSI&#199;&#195;O%20-%20LUIZ\or&#231;amentos%20elaborados\ESCOLA%20MODELO%20MATA%20DO%20JACINTO\IMPLANTA&#199;&#195;O%20ESCOLA%20PADR&#195;O%20MATA%20DO%20JACI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10\server\BACKUP\1%20DNIT%20c\PATO\BR_267\KM%20290,100%20ao%20396,40%20(BR-267)\C&#243;pia%20de%20Pato%2016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gustavo.milhorim\Documents\Gustavo\CONTRATOS\CONSERVA&#199;&#195;O\PATOS%202012\PATO%20BR-267%202011\Nov-11\Pato%20262-MS%20JUNH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0.6.0.250\DIOR\EST&#193;GIARIOS\ZANATA\LUIZ\PLANILHA\ZANATA\1%20EXEMPLOS\Or&#231;amento%20-%20Supervis&#227;o%20de%20Obras%20MACRO-ANEL%20V1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NIT%20SR_MS\PATO%20262\2014\PATO%20br%20262%20corret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BR163P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Documents%20and%20Settings\gustavo.milhorim\Meus%20documentos\Gustavo\BR-262%20(CG-%20MUTUM)\PATO\Pato%20262-MS%20JUNH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22.10\server\BACKUP\1%20DNIT%20c\PATO\BR_267\KM%20290,100%20ao%20396,40%20(BR-267)\BR-267-PATO%2003_07correto%20km%20125%20%2024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charlly.yassuda/Desktop/Teste%20de%20exequibilidade%20de%20pesquisa%20de%20pre&#231;os%2075%25%20-%2025%25%20Rici.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ACKUP\1%20DNIT\PATO\Pato_1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ACKUP\1%20DNIT\PATO\BR-262-PATONOV07-Pista%20Dupla-BR-060-1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j249w.pmcg.imti\setores_secomp\DIOR\OR&#199;AMENTO%20CONTROLE%202\OR&#199;AMENTO%20PRA&#199;AS\PRA&#199;A%20JARDIM%20NOVA%20SERRANA\PLANILHA%20OR&#199;AMENTARIA%20PRA&#199;A%20MORENINHA%20III%20-%20v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6.0.250\Documents%20and%20Settings\edvaldo.silva\Desktop\THIAGO\Priscila\OR&#199;AMENTO%20-%20Pr&#243;prios%20Municipais%20V5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6.0.250\DIOR\OR&#199;AMENTO%20CONTROLE%202\OR&#199;AMENTOS%20INFRA\NASHIVILLE\NASHIVILLE%20-%20F9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6.0.250\OR&#199;AMENTO%20CONTROLE%202\OR&#199;AMENTO%20PRA&#199;AS\ACADEMIAS%20DE%20SAUDE%20AO%20AR%20LIVRE\ACADEMIA%20DE%20SAUDE%20-%20PRA&#199;A%20AERO%20RANCHO\ACADEMIA%20%20DE%20SA&#218;DE%20AERO%20RANCHO%20A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D_NI_5"/>
      <sheetName val="Capa"/>
      <sheetName val="Plan1"/>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XO"/>
      <sheetName val="ORÇAMENTO IMP"/>
      <sheetName val="CRONOGRAMA"/>
      <sheetName val="MEMORIA IMP"/>
      <sheetName val="MAPA DE COTAÇÃO"/>
      <sheetName val="COMP-01"/>
      <sheetName val="COMP - 02"/>
    </sheetNames>
    <sheetDataSet>
      <sheetData sheetId="0">
        <row r="8">
          <cell r="J8">
            <v>0.2092</v>
          </cell>
        </row>
      </sheetData>
      <sheetData sheetId="1" refreshError="1"/>
      <sheetData sheetId="2" refreshError="1"/>
      <sheetData sheetId="3" refreshError="1"/>
      <sheetData sheetId="4" refreshError="1"/>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_ORÇA"/>
      <sheetName val="CRONOGRAMA"/>
      <sheetName val="COMP-00"/>
      <sheetName val="COMP-01"/>
      <sheetName val="COMP-02"/>
      <sheetName val="COMP-03"/>
      <sheetName val="COMP-04"/>
      <sheetName val="MEM-00"/>
      <sheetName val="MEM-03"/>
      <sheetName val="BDI_1"/>
      <sheetName val="BDI_2"/>
    </sheetNames>
    <sheetDataSet>
      <sheetData sheetId="0">
        <row r="8">
          <cell r="B8" t="str">
            <v>CAMPO GRANDE - MS</v>
          </cell>
          <cell r="I8">
            <v>0.2092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APA DE COTAÇÃO"/>
      <sheetName val="COMP 01"/>
      <sheetName val="COMP 02"/>
      <sheetName val="COMP-03"/>
      <sheetName val="COMP-04"/>
      <sheetName val="COMP- 05"/>
      <sheetName val="COMP- 06"/>
      <sheetName val="COMP - 07  "/>
      <sheetName val="COMP-08"/>
      <sheetName val="COMP - 09"/>
      <sheetName val="COMP - 10"/>
      <sheetName val="COMP -11"/>
    </sheetNames>
    <sheetDataSet>
      <sheetData sheetId="0">
        <row r="8">
          <cell r="J8">
            <v>0.26240000000000002</v>
          </cell>
        </row>
        <row r="9">
          <cell r="J9">
            <v>0</v>
          </cell>
        </row>
      </sheetData>
      <sheetData sheetId="1">
        <row r="13">
          <cell r="E13">
            <v>0</v>
          </cell>
          <cell r="G13">
            <v>0.1464</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XO"/>
      <sheetName val="ORÇAMENTO IMP"/>
      <sheetName val="CRONOGRAMA"/>
      <sheetName val="MAPA DE COTAÇÃO"/>
      <sheetName val="MEMÓRIA IMP"/>
      <sheetName val="COMP-01"/>
      <sheetName val="COMP-02"/>
      <sheetName val="COMP-03"/>
      <sheetName val="COMP-04"/>
      <sheetName val="COMP-05"/>
      <sheetName val="COMP-06"/>
      <sheetName val="COMP-07.1"/>
      <sheetName val="COMP-07.2"/>
      <sheetName val="COMP-08"/>
      <sheetName val="COMP-09"/>
      <sheetName val="COMP-10"/>
      <sheetName val="COMP-11"/>
      <sheetName val="COMP-12"/>
    </sheetNames>
    <sheetDataSet>
      <sheetData sheetId="0">
        <row r="6">
          <cell r="C6" t="str">
            <v>REFORMA DA UNIDADE DE PRONTO ATENDIMENTO VILA ALMEIDA</v>
          </cell>
        </row>
        <row r="7">
          <cell r="C7" t="str">
            <v>RUA MINISTRO JOSÉ LINHARES ESQ. RUA YOKOAMA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XO"/>
      <sheetName val="ORÇAMENTO IMP"/>
      <sheetName val="CRONOGRAMA"/>
      <sheetName val="MAPA DE COTAÇÃO"/>
      <sheetName val="MEMÓRIA IMP"/>
      <sheetName val="COMP-01"/>
      <sheetName val="COMP-02"/>
      <sheetName val="COMP-03"/>
      <sheetName val="COMP-04"/>
      <sheetName val="COMP-05"/>
      <sheetName val="COMP-06"/>
      <sheetName val="COMP-07.1"/>
      <sheetName val="COMP-07.2"/>
      <sheetName val="COMP-08"/>
      <sheetName val="COMP-09"/>
      <sheetName val="COMP-10"/>
      <sheetName val="COMP-11"/>
      <sheetName val="COMP-12"/>
    </sheetNames>
    <sheetDataSet>
      <sheetData sheetId="0">
        <row r="6">
          <cell r="C6" t="str">
            <v>REFORMA DA UNIDADE DE PRONTO ATENDIMENTO VILA ALMEIDA</v>
          </cell>
        </row>
        <row r="7">
          <cell r="C7" t="str">
            <v>RUA MINISTRO JOSÉ LINHARES ESQ. RUA YOKOAMA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
      <sheetName val="Dados Edital"/>
      <sheetName val="BDI ALT"/>
      <sheetName val="BDI DNIT"/>
      <sheetName val="Cronograma 1º"/>
      <sheetName val="CURVA ABC"/>
      <sheetName val="ORÇAMENTO"/>
      <sheetName val="Serviços"/>
      <sheetName val="Gráf1"/>
      <sheetName val="RESU.SERV"/>
      <sheetName val="MICRO 1.5"/>
      <sheetName val="TLCB5"/>
      <sheetName val="TLMR"/>
      <sheetName val="TLCB10"/>
      <sheetName val="TLCC4"/>
      <sheetName val="TCCB10"/>
      <sheetName val="TCCC "/>
      <sheetName val="Quadro res. transp."/>
      <sheetName val="Croqui"/>
      <sheetName val="FÓRM. TRANS"/>
      <sheetName val="CÁLC. TRANS."/>
      <sheetName val="MB VIAB."/>
      <sheetName val="Unit MB"/>
      <sheetName val="MAT.BET"/>
      <sheetName val="Instalação"/>
      <sheetName val="Mobiliz."/>
      <sheetName val="PREVENTIVA"/>
      <sheetName val="CONSERVA ROTINEIRA"/>
      <sheetName val="CONS. EMERG"/>
      <sheetName val="SINALIZ"/>
      <sheetName val="OBRAS MELHORAM"/>
      <sheetName val="TRANSPORTE"/>
      <sheetName val="ADM"/>
      <sheetName val="SERVIÇOS AUX"/>
      <sheetName val="AUXILIARES"/>
      <sheetName val="MATERIAIS"/>
      <sheetName val="EQUIPAMENTOS"/>
      <sheetName val="MAO-DE-OBRA"/>
      <sheetName val="Modelo"/>
      <sheetName val="DIVIS"/>
      <sheetName val="cotacao materiais NASul"/>
      <sheetName val="Pedreirias"/>
    </sheetNames>
    <sheetDataSet>
      <sheetData sheetId="0">
        <row r="8">
          <cell r="B8" t="str">
            <v>BR-267/MS</v>
          </cell>
        </row>
        <row r="10">
          <cell r="B10" t="str">
            <v>Entr. MS-134 - Entr. BR-163(A) Nova Alvorada</v>
          </cell>
        </row>
        <row r="11">
          <cell r="B11" t="str">
            <v>Km 124,18 ao Km 248,68</v>
          </cell>
        </row>
        <row r="13">
          <cell r="B13" t="str">
            <v>Eng.º Sérgio Romero Bezerra Sampaio</v>
          </cell>
        </row>
        <row r="14">
          <cell r="B14" t="str">
            <v>DNIT n.º 4985-9</v>
          </cell>
        </row>
        <row r="33">
          <cell r="G33">
            <v>0.5</v>
          </cell>
        </row>
      </sheetData>
      <sheetData sheetId="1"/>
      <sheetData sheetId="2"/>
      <sheetData sheetId="3"/>
      <sheetData sheetId="4"/>
      <sheetData sheetId="5"/>
      <sheetData sheetId="6"/>
      <sheetData sheetId="7">
        <row r="16">
          <cell r="G16">
            <v>547.79999999999995</v>
          </cell>
        </row>
        <row r="21">
          <cell r="G21">
            <v>498</v>
          </cell>
        </row>
        <row r="24">
          <cell r="G24">
            <v>1120.5</v>
          </cell>
        </row>
        <row r="46">
          <cell r="G46">
            <v>47.25</v>
          </cell>
        </row>
        <row r="47">
          <cell r="G47">
            <v>78.75</v>
          </cell>
        </row>
        <row r="52">
          <cell r="G52">
            <v>1200</v>
          </cell>
        </row>
        <row r="58">
          <cell r="G58">
            <v>72</v>
          </cell>
        </row>
        <row r="59">
          <cell r="G59">
            <v>575</v>
          </cell>
        </row>
      </sheetData>
      <sheetData sheetId="8" refreshError="1"/>
      <sheetData sheetId="9"/>
      <sheetData sheetId="10">
        <row r="36">
          <cell r="H36">
            <v>65.8</v>
          </cell>
        </row>
      </sheetData>
      <sheetData sheetId="11">
        <row r="27">
          <cell r="I27">
            <v>137374.38500000001</v>
          </cell>
        </row>
      </sheetData>
      <sheetData sheetId="12">
        <row r="30">
          <cell r="I30">
            <v>263073.72899999999</v>
          </cell>
        </row>
      </sheetData>
      <sheetData sheetId="13">
        <row r="22">
          <cell r="I22">
            <v>92331.69</v>
          </cell>
        </row>
      </sheetData>
      <sheetData sheetId="14">
        <row r="30">
          <cell r="I30">
            <v>16132.772000000001</v>
          </cell>
        </row>
      </sheetData>
      <sheetData sheetId="15">
        <row r="37">
          <cell r="I37">
            <v>345422.02275</v>
          </cell>
        </row>
      </sheetData>
      <sheetData sheetId="16">
        <row r="30">
          <cell r="I30">
            <v>463.863</v>
          </cell>
        </row>
      </sheetData>
      <sheetData sheetId="17"/>
      <sheetData sheetId="18"/>
      <sheetData sheetId="19"/>
      <sheetData sheetId="20"/>
      <sheetData sheetId="21">
        <row r="3">
          <cell r="E3">
            <v>897.2</v>
          </cell>
          <cell r="F3">
            <v>903.92</v>
          </cell>
        </row>
        <row r="4">
          <cell r="E4">
            <v>1504.31</v>
          </cell>
          <cell r="F4">
            <v>1603.3500000000001</v>
          </cell>
        </row>
        <row r="5">
          <cell r="E5">
            <v>739.3</v>
          </cell>
          <cell r="F5">
            <v>830.82</v>
          </cell>
        </row>
        <row r="6">
          <cell r="E6">
            <v>1233.4000000000001</v>
          </cell>
          <cell r="F6">
            <v>1403.75</v>
          </cell>
        </row>
        <row r="44">
          <cell r="C44" t="str">
            <v>LENÇÓIS PTA</v>
          </cell>
          <cell r="E44">
            <v>1080.96</v>
          </cell>
          <cell r="G44">
            <v>270.66000000000003</v>
          </cell>
        </row>
        <row r="45">
          <cell r="C45" t="str">
            <v>LENÇÓIS PTA</v>
          </cell>
          <cell r="E45">
            <v>1812.42</v>
          </cell>
          <cell r="G45">
            <v>244.07</v>
          </cell>
        </row>
        <row r="46">
          <cell r="C46" t="str">
            <v>LENÇÓIS PTA</v>
          </cell>
          <cell r="E46">
            <v>890.72</v>
          </cell>
          <cell r="G46">
            <v>244.07</v>
          </cell>
        </row>
        <row r="47">
          <cell r="C47" t="str">
            <v>PAULÍNIA</v>
          </cell>
          <cell r="E47">
            <v>1486.02</v>
          </cell>
          <cell r="G47">
            <v>268.18</v>
          </cell>
        </row>
      </sheetData>
      <sheetData sheetId="22">
        <row r="9">
          <cell r="H9">
            <v>11.06</v>
          </cell>
        </row>
        <row r="11">
          <cell r="H11">
            <v>193.92</v>
          </cell>
          <cell r="J11">
            <v>48.56</v>
          </cell>
        </row>
        <row r="13">
          <cell r="H13">
            <v>10</v>
          </cell>
          <cell r="J13">
            <v>1.35</v>
          </cell>
        </row>
        <row r="15">
          <cell r="H15">
            <v>4.96</v>
          </cell>
          <cell r="J15">
            <v>0.89</v>
          </cell>
        </row>
      </sheetData>
      <sheetData sheetId="23"/>
      <sheetData sheetId="24">
        <row r="34">
          <cell r="O34">
            <v>356</v>
          </cell>
        </row>
      </sheetData>
      <sheetData sheetId="25">
        <row r="36">
          <cell r="H36">
            <v>0.46</v>
          </cell>
        </row>
        <row r="53">
          <cell r="I53">
            <v>19847.23</v>
          </cell>
        </row>
      </sheetData>
      <sheetData sheetId="26">
        <row r="59">
          <cell r="H59">
            <v>3.1</v>
          </cell>
        </row>
      </sheetData>
      <sheetData sheetId="27">
        <row r="57">
          <cell r="H57">
            <v>0.26</v>
          </cell>
        </row>
        <row r="137">
          <cell r="H137">
            <v>50.08</v>
          </cell>
        </row>
        <row r="217">
          <cell r="H217">
            <v>0.2</v>
          </cell>
        </row>
        <row r="297">
          <cell r="H297">
            <v>36.85</v>
          </cell>
        </row>
        <row r="377">
          <cell r="H377">
            <v>256.88</v>
          </cell>
        </row>
        <row r="457">
          <cell r="H457">
            <v>192.46</v>
          </cell>
        </row>
        <row r="537">
          <cell r="H537">
            <v>230.3</v>
          </cell>
        </row>
        <row r="617">
          <cell r="H617">
            <v>1.84</v>
          </cell>
        </row>
        <row r="697">
          <cell r="H697">
            <v>134.25</v>
          </cell>
        </row>
        <row r="777">
          <cell r="H777">
            <v>210.33</v>
          </cell>
        </row>
        <row r="1017">
          <cell r="H1017">
            <v>2.64</v>
          </cell>
        </row>
        <row r="1417">
          <cell r="H1417">
            <v>13.02</v>
          </cell>
        </row>
        <row r="1497">
          <cell r="H1497">
            <v>1244.3</v>
          </cell>
        </row>
        <row r="1577">
          <cell r="H1577">
            <v>2986.33</v>
          </cell>
        </row>
        <row r="1657">
          <cell r="H1657">
            <v>288.14</v>
          </cell>
        </row>
        <row r="1737">
          <cell r="H1737">
            <v>0.1</v>
          </cell>
        </row>
        <row r="1817">
          <cell r="H1817">
            <v>0.5</v>
          </cell>
        </row>
        <row r="1897">
          <cell r="H1897">
            <v>32.14</v>
          </cell>
        </row>
      </sheetData>
      <sheetData sheetId="28">
        <row r="57">
          <cell r="H57">
            <v>85.94</v>
          </cell>
        </row>
        <row r="137">
          <cell r="H137">
            <v>23.27</v>
          </cell>
        </row>
        <row r="217">
          <cell r="H217">
            <v>22.43</v>
          </cell>
        </row>
      </sheetData>
      <sheetData sheetId="29">
        <row r="57">
          <cell r="H57">
            <v>11.83</v>
          </cell>
        </row>
      </sheetData>
      <sheetData sheetId="30">
        <row r="57">
          <cell r="H57">
            <v>201.4</v>
          </cell>
        </row>
        <row r="217">
          <cell r="H217">
            <v>257.5</v>
          </cell>
        </row>
      </sheetData>
      <sheetData sheetId="31">
        <row r="57">
          <cell r="H57">
            <v>0.63</v>
          </cell>
        </row>
        <row r="137">
          <cell r="H137">
            <v>1.1499999999999999</v>
          </cell>
        </row>
        <row r="217">
          <cell r="H217">
            <v>0.75</v>
          </cell>
        </row>
        <row r="297">
          <cell r="H297">
            <v>1.05</v>
          </cell>
        </row>
        <row r="377">
          <cell r="H377">
            <v>0.44</v>
          </cell>
        </row>
        <row r="457">
          <cell r="H457">
            <v>0.45</v>
          </cell>
        </row>
        <row r="537">
          <cell r="H537">
            <v>5050.25</v>
          </cell>
        </row>
      </sheetData>
      <sheetData sheetId="32">
        <row r="57">
          <cell r="H57">
            <v>33.24</v>
          </cell>
        </row>
        <row r="137">
          <cell r="H137">
            <v>10.98</v>
          </cell>
        </row>
        <row r="217">
          <cell r="H217">
            <v>21.16</v>
          </cell>
        </row>
        <row r="297">
          <cell r="H297">
            <v>105.97</v>
          </cell>
        </row>
        <row r="377">
          <cell r="H377">
            <v>111.96</v>
          </cell>
        </row>
      </sheetData>
      <sheetData sheetId="33">
        <row r="57">
          <cell r="H57">
            <v>293.07</v>
          </cell>
        </row>
        <row r="137">
          <cell r="H137">
            <v>469.31</v>
          </cell>
        </row>
        <row r="217">
          <cell r="H217">
            <v>437.62</v>
          </cell>
        </row>
        <row r="297">
          <cell r="H297">
            <v>8.4700000000000006</v>
          </cell>
        </row>
        <row r="377">
          <cell r="H377">
            <v>58.19</v>
          </cell>
        </row>
        <row r="457">
          <cell r="H457">
            <v>24.89</v>
          </cell>
        </row>
        <row r="537">
          <cell r="H537">
            <v>38.729999999999997</v>
          </cell>
        </row>
        <row r="617">
          <cell r="H617">
            <v>8.4600000000000009</v>
          </cell>
        </row>
      </sheetData>
      <sheetData sheetId="34">
        <row r="57">
          <cell r="H57">
            <v>3.67</v>
          </cell>
        </row>
        <row r="137">
          <cell r="H137">
            <v>3.85</v>
          </cell>
        </row>
        <row r="217">
          <cell r="H217">
            <v>3.71</v>
          </cell>
        </row>
        <row r="297">
          <cell r="H297">
            <v>62</v>
          </cell>
        </row>
        <row r="377">
          <cell r="H377">
            <v>87.33</v>
          </cell>
        </row>
        <row r="457">
          <cell r="H457">
            <v>0.85</v>
          </cell>
        </row>
        <row r="537">
          <cell r="H537">
            <v>4.6100000000000003</v>
          </cell>
        </row>
        <row r="617">
          <cell r="H617">
            <v>7.48</v>
          </cell>
        </row>
        <row r="697">
          <cell r="H697">
            <v>359.26</v>
          </cell>
        </row>
        <row r="777">
          <cell r="H777">
            <v>361.77</v>
          </cell>
        </row>
        <row r="857">
          <cell r="H857">
            <v>6.94</v>
          </cell>
        </row>
        <row r="937">
          <cell r="H937">
            <v>7.09</v>
          </cell>
        </row>
        <row r="1017">
          <cell r="H1017">
            <v>47.8</v>
          </cell>
        </row>
        <row r="1097">
          <cell r="H1097">
            <v>363.85</v>
          </cell>
        </row>
        <row r="1177">
          <cell r="H1177">
            <v>170.48</v>
          </cell>
        </row>
      </sheetData>
      <sheetData sheetId="35"/>
      <sheetData sheetId="36"/>
      <sheetData sheetId="37"/>
      <sheetData sheetId="38"/>
      <sheetData sheetId="39"/>
      <sheetData sheetId="40"/>
      <sheetData sheetId="4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ORIA"/>
      <sheetName val="CRONOGRAMA"/>
      <sheetName val="COMP - 01"/>
      <sheetName val="COMP - 02"/>
    </sheetNames>
    <sheetDataSet>
      <sheetData sheetId="0">
        <row r="7">
          <cell r="I7">
            <v>0.24260000000000001</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ORIA"/>
      <sheetName val="CRONOGRAMA"/>
      <sheetName val="COMP - 01"/>
      <sheetName val="COMP - 02"/>
    </sheetNames>
    <sheetDataSet>
      <sheetData sheetId="0">
        <row r="7">
          <cell r="I7">
            <v>0.24260000000000001</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 val="BDI"/>
      <sheetName val="COMP - 01"/>
      <sheetName val="COMP - 02"/>
      <sheetName val="COMP - 03"/>
      <sheetName val="COMP - 04"/>
      <sheetName val="COMP - 05"/>
      <sheetName val="COMP - 06"/>
      <sheetName val="COMP - 07"/>
    </sheetNames>
    <sheetDataSet>
      <sheetData sheetId="0">
        <row r="6">
          <cell r="I6">
            <v>0.28179999999999999</v>
          </cell>
        </row>
      </sheetData>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s>
    <sheetDataSet>
      <sheetData sheetId="0">
        <row r="6">
          <cell r="J6">
            <v>0.26240000000000002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GERAIS"/>
      <sheetName val="DADOS PARA PASTAS"/>
      <sheetName val="BDI DNIT"/>
      <sheetName val="materiais"/>
      <sheetName val="composições"/>
      <sheetName val="DIAGRAMA"/>
      <sheetName val="INVEN."/>
      <sheetName val="SERVIÇOS (MATRIZ)"/>
      <sheetName val="ORÇAMENTO 01"/>
      <sheetName val="CURVA ABC"/>
      <sheetName val="Cronograma "/>
      <sheetName val="justificativa"/>
      <sheetName val="instalação"/>
      <sheetName val="mobilização"/>
      <sheetName val="TLCB5"/>
      <sheetName val="TLMR"/>
      <sheetName val="TCCB10"/>
      <sheetName val="TLC4"/>
      <sheetName val="TLCB10"/>
      <sheetName val="Dados Edital"/>
      <sheetName val="calc. transporte IS 02_2011"/>
      <sheetName val="CROQUI"/>
      <sheetName val="Q.R.DIST.TRANSP."/>
      <sheetName val="D. CUST. M."/>
      <sheetName val="comparativo mat"/>
      <sheetName val="D.CONS.M"/>
      <sheetName val="DIVIS"/>
      <sheetName val="Plan1"/>
    </sheetNames>
    <sheetDataSet>
      <sheetData sheetId="0">
        <row r="6">
          <cell r="C6" t="str">
            <v>BR- 267/MS</v>
          </cell>
        </row>
        <row r="7">
          <cell r="C7" t="str">
            <v>DIV. SP/MS /  ENT. MS-195 (FRONT. BR/PY) (P. Murtinho)</v>
          </cell>
        </row>
        <row r="8">
          <cell r="C8" t="str">
            <v>ENT. BR-163(B)(Rio Brilhante) – ENT. MS-164(Vista Alegre)</v>
          </cell>
        </row>
        <row r="9">
          <cell r="C9" t="str">
            <v>km 290,100 / km 396,400</v>
          </cell>
        </row>
        <row r="10">
          <cell r="C10">
            <v>106.3</v>
          </cell>
        </row>
        <row r="15">
          <cell r="C15">
            <v>42002</v>
          </cell>
        </row>
      </sheetData>
      <sheetData sheetId="1" refreshError="1"/>
      <sheetData sheetId="2" refreshError="1"/>
      <sheetData sheetId="3" refreshError="1"/>
      <sheetData sheetId="4" refreshError="1"/>
      <sheetData sheetId="5" refreshError="1"/>
      <sheetData sheetId="6" refreshError="1"/>
      <sheetData sheetId="7" refreshError="1"/>
      <sheetData sheetId="8">
        <row r="37">
          <cell r="F37">
            <v>425373</v>
          </cell>
        </row>
        <row r="42">
          <cell r="F42">
            <v>27202.16</v>
          </cell>
        </row>
        <row r="47">
          <cell r="F47">
            <v>152910</v>
          </cell>
        </row>
      </sheetData>
      <sheetData sheetId="9" refreshError="1"/>
      <sheetData sheetId="10" refreshError="1"/>
      <sheetData sheetId="11" refreshError="1"/>
      <sheetData sheetId="12" refreshError="1"/>
      <sheetData sheetId="13" refreshError="1"/>
      <sheetData sheetId="14">
        <row r="31">
          <cell r="I31">
            <v>103594.7</v>
          </cell>
        </row>
      </sheetData>
      <sheetData sheetId="15" refreshError="1"/>
      <sheetData sheetId="16" refreshError="1"/>
      <sheetData sheetId="17" refreshError="1"/>
      <sheetData sheetId="18" refreshError="1"/>
      <sheetData sheetId="19" refreshError="1"/>
      <sheetData sheetId="20">
        <row r="30">
          <cell r="C30">
            <v>29.856000000000002</v>
          </cell>
        </row>
      </sheetData>
      <sheetData sheetId="21" refreshError="1"/>
      <sheetData sheetId="22">
        <row r="29">
          <cell r="B29" t="str">
            <v>SEGMENTO:   KM 290,10 ao KM 396,40</v>
          </cell>
        </row>
      </sheetData>
      <sheetData sheetId="23"/>
      <sheetData sheetId="24">
        <row r="16">
          <cell r="B16">
            <v>914.59</v>
          </cell>
        </row>
      </sheetData>
      <sheetData sheetId="25" refreshError="1"/>
      <sheetData sheetId="26" refreshError="1"/>
      <sheetData sheetId="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s>
    <sheetDataSet>
      <sheetData sheetId="0" refreshError="1">
        <row r="6">
          <cell r="J6">
            <v>0.26240000000000002</v>
          </cell>
        </row>
        <row r="7">
          <cell r="J7">
            <v>0.1772</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 val="COMP-11"/>
      <sheetName val="COMP-01"/>
      <sheetName val="COMP-02"/>
      <sheetName val="COMP-03"/>
      <sheetName val="COMP-04"/>
      <sheetName val="COMP-05"/>
      <sheetName val="COMP-06"/>
      <sheetName val="COMP-07"/>
      <sheetName val="COMP-08"/>
      <sheetName val="COMP-09"/>
      <sheetName val="COMP-10"/>
      <sheetName val="COMP-12"/>
      <sheetName val="COMP-13"/>
      <sheetName val="COMP-14"/>
      <sheetName val="COMP-15"/>
      <sheetName val="COMP-16"/>
      <sheetName val="COMP-17"/>
      <sheetName val="COMP-18"/>
      <sheetName val="COMP - 19"/>
      <sheetName val="COMP-20"/>
    </sheetNames>
    <sheetDataSet>
      <sheetData sheetId="0">
        <row r="7">
          <cell r="I7">
            <v>0.26240000000000002</v>
          </cell>
        </row>
        <row r="8">
          <cell r="I8">
            <v>0.1772</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NT"/>
      <sheetName val="RESUMO"/>
      <sheetName val="ACA - 01"/>
      <sheetName val="ACA - 02"/>
      <sheetName val="ACA - 03"/>
      <sheetName val="ACA - 04"/>
      <sheetName val="ACA - 04b"/>
      <sheetName val="ACA - 05"/>
      <sheetName val="ACA - 06"/>
      <sheetName val="ACA - 07"/>
      <sheetName val="ACA - 08"/>
      <sheetName val="ACA - 08b"/>
      <sheetName val="ACA - 09"/>
      <sheetName val=""/>
      <sheetName val="sid_ni_5"/>
      <sheetName val="ACA_-_01"/>
      <sheetName val="ACA_-_02"/>
      <sheetName val="ACA_-_03"/>
      <sheetName val="ACA_-_04"/>
      <sheetName val="ACA_-_04b"/>
      <sheetName val="ACA_-_05"/>
      <sheetName val="ACA_-_06"/>
      <sheetName val="ACA_-_07"/>
      <sheetName val="ACA_-_08"/>
      <sheetName val="ACA_-_08b"/>
      <sheetName val="ACA_-_09"/>
    </sheetNames>
    <sheetDataSet>
      <sheetData sheetId="0">
        <row r="5">
          <cell r="B5" t="str">
            <v>CÓDIGO</v>
          </cell>
          <cell r="C5" t="str">
            <v>ITEM</v>
          </cell>
          <cell r="D5" t="str">
            <v>DESCRIÇÃO DO INSUMO</v>
          </cell>
          <cell r="E5" t="str">
            <v>UNID.</v>
          </cell>
          <cell r="F5" t="str">
            <v>PÇO. UNIT.</v>
          </cell>
          <cell r="G5" t="str">
            <v>QTDE. CONTRATO</v>
          </cell>
        </row>
        <row r="6">
          <cell r="B6" t="str">
            <v>AD05050100</v>
          </cell>
          <cell r="C6">
            <v>1</v>
          </cell>
          <cell r="D6" t="str">
            <v>Ensaio de andensamento edométrico em solo.</v>
          </cell>
          <cell r="E6" t="str">
            <v>un</v>
          </cell>
          <cell r="F6">
            <v>509.17</v>
          </cell>
          <cell r="G6">
            <v>44</v>
          </cell>
        </row>
        <row r="7">
          <cell r="B7" t="str">
            <v>AD05050200</v>
          </cell>
          <cell r="C7">
            <v>2</v>
          </cell>
          <cell r="D7" t="str">
            <v>Ensaio de laboratorio da Densidade Real.</v>
          </cell>
          <cell r="E7" t="str">
            <v>un</v>
          </cell>
          <cell r="F7">
            <v>56.78</v>
          </cell>
          <cell r="G7">
            <v>29</v>
          </cell>
        </row>
        <row r="8">
          <cell r="B8" t="str">
            <v>AD05050250</v>
          </cell>
          <cell r="C8">
            <v>3</v>
          </cell>
          <cell r="D8" t="str">
            <v>Ensaio em laboratorio do Limite de Liquidez.</v>
          </cell>
          <cell r="E8" t="str">
            <v>un</v>
          </cell>
          <cell r="F8">
            <v>41.29</v>
          </cell>
          <cell r="G8">
            <v>14</v>
          </cell>
        </row>
        <row r="9">
          <cell r="B9" t="str">
            <v>AD05050300</v>
          </cell>
          <cell r="C9">
            <v>4</v>
          </cell>
          <cell r="D9" t="str">
            <v xml:space="preserve">Ensaio em laboratório do limite de plasticidade. </v>
          </cell>
          <cell r="E9" t="str">
            <v>un</v>
          </cell>
          <cell r="F9">
            <v>41.29</v>
          </cell>
          <cell r="G9">
            <v>14</v>
          </cell>
        </row>
        <row r="10">
          <cell r="B10" t="str">
            <v>AD05050350</v>
          </cell>
          <cell r="C10">
            <v>5</v>
          </cell>
          <cell r="D10" t="str">
            <v>Ensaio em laboratório, do Peso Especifico.</v>
          </cell>
          <cell r="E10" t="str">
            <v>un</v>
          </cell>
          <cell r="F10">
            <v>22.86</v>
          </cell>
          <cell r="G10">
            <v>29</v>
          </cell>
        </row>
        <row r="11">
          <cell r="B11" t="str">
            <v>AD05050450</v>
          </cell>
          <cell r="C11">
            <v>6</v>
          </cell>
          <cell r="D11" t="str">
            <v>Ensaio Índice de Suporte Califórnia - Proctor Normal.</v>
          </cell>
          <cell r="E11" t="str">
            <v>un</v>
          </cell>
          <cell r="F11">
            <v>414.42</v>
          </cell>
          <cell r="G11">
            <v>43</v>
          </cell>
        </row>
        <row r="12">
          <cell r="B12" t="str">
            <v>AD05050700</v>
          </cell>
          <cell r="C12">
            <v>7</v>
          </cell>
          <cell r="D12" t="str">
            <v>Sondagem manual com pa e picareta por metro.</v>
          </cell>
          <cell r="E12" t="str">
            <v>m</v>
          </cell>
          <cell r="F12">
            <v>56.78</v>
          </cell>
          <cell r="G12">
            <v>280</v>
          </cell>
        </row>
        <row r="13">
          <cell r="B13" t="str">
            <v>AD20050050</v>
          </cell>
          <cell r="C13">
            <v>8</v>
          </cell>
          <cell r="D13" t="str">
            <v>Barracão de obra com paredes de madeira.</v>
          </cell>
          <cell r="E13" t="str">
            <v>m2</v>
          </cell>
          <cell r="F13">
            <v>141.75</v>
          </cell>
          <cell r="G13">
            <v>250</v>
          </cell>
        </row>
        <row r="14">
          <cell r="B14" t="str">
            <v>AD20050300</v>
          </cell>
          <cell r="C14">
            <v>9</v>
          </cell>
          <cell r="D14" t="str">
            <v>Tapume de vedação ou proteção.</v>
          </cell>
          <cell r="E14" t="str">
            <v>m2</v>
          </cell>
          <cell r="F14">
            <v>19.16</v>
          </cell>
          <cell r="G14">
            <v>24000</v>
          </cell>
        </row>
        <row r="15">
          <cell r="B15" t="str">
            <v>AD20200050</v>
          </cell>
          <cell r="C15">
            <v>10</v>
          </cell>
          <cell r="D15" t="str">
            <v>Instalação e ligação provisórias de energia.</v>
          </cell>
          <cell r="E15" t="str">
            <v>un</v>
          </cell>
          <cell r="F15">
            <v>595.94000000000005</v>
          </cell>
          <cell r="G15">
            <v>2</v>
          </cell>
        </row>
        <row r="16">
          <cell r="B16" t="str">
            <v xml:space="preserve">AD40050056 </v>
          </cell>
          <cell r="C16">
            <v>11</v>
          </cell>
          <cell r="D16" t="str">
            <v xml:space="preserve">Almoxarife(inclusive encargos sociais). </v>
          </cell>
          <cell r="E16" t="str">
            <v>h</v>
          </cell>
          <cell r="F16">
            <v>6.48</v>
          </cell>
          <cell r="G16">
            <v>1480</v>
          </cell>
        </row>
        <row r="17">
          <cell r="B17" t="str">
            <v>AD40050068</v>
          </cell>
          <cell r="C17">
            <v>12</v>
          </cell>
          <cell r="D17" t="str">
            <v>Apontador(inclusive encargos sociais).</v>
          </cell>
          <cell r="E17" t="str">
            <v>h</v>
          </cell>
          <cell r="F17">
            <v>6.48</v>
          </cell>
          <cell r="G17">
            <v>1480</v>
          </cell>
        </row>
        <row r="18">
          <cell r="B18" t="str">
            <v>AD40050074</v>
          </cell>
          <cell r="C18">
            <v>13</v>
          </cell>
          <cell r="D18" t="str">
            <v>Auxiliar de almoxarife(inclusive encargos sociais).</v>
          </cell>
          <cell r="E18" t="str">
            <v>h</v>
          </cell>
          <cell r="F18">
            <v>4.41</v>
          </cell>
          <cell r="G18">
            <v>1480</v>
          </cell>
        </row>
        <row r="19">
          <cell r="B19" t="str">
            <v>AD40050080</v>
          </cell>
          <cell r="C19">
            <v>14</v>
          </cell>
          <cell r="D19" t="str">
            <v>Auxiliar de escritório(inclusive encargos sociais).</v>
          </cell>
          <cell r="E19" t="str">
            <v>h</v>
          </cell>
          <cell r="F19">
            <v>5.32</v>
          </cell>
          <cell r="G19">
            <v>1480</v>
          </cell>
        </row>
        <row r="20">
          <cell r="B20" t="str">
            <v>AD40050086</v>
          </cell>
          <cell r="C20">
            <v>15</v>
          </cell>
          <cell r="D20" t="str">
            <v>Auxiliar técnico(inclusive encargos sociais).</v>
          </cell>
          <cell r="E20" t="str">
            <v>h</v>
          </cell>
          <cell r="F20">
            <v>8.1</v>
          </cell>
          <cell r="G20">
            <v>1480</v>
          </cell>
        </row>
        <row r="21">
          <cell r="B21" t="str">
            <v>AD40050092</v>
          </cell>
          <cell r="C21">
            <v>16</v>
          </cell>
          <cell r="D21" t="str">
            <v xml:space="preserve">Auxiliar de topografia(inclusive encargos sociais).     </v>
          </cell>
          <cell r="E21" t="str">
            <v>h</v>
          </cell>
          <cell r="F21">
            <v>4.5</v>
          </cell>
          <cell r="G21">
            <v>1480</v>
          </cell>
        </row>
        <row r="22">
          <cell r="B22" t="str">
            <v>AD40050098</v>
          </cell>
          <cell r="C22">
            <v>17</v>
          </cell>
          <cell r="D22" t="str">
            <v xml:space="preserve">Chefe de escritório(inclusive encargos sociais). </v>
          </cell>
          <cell r="E22" t="str">
            <v>h</v>
          </cell>
          <cell r="F22">
            <v>13.02</v>
          </cell>
          <cell r="G22">
            <v>1480</v>
          </cell>
        </row>
        <row r="23">
          <cell r="B23" t="str">
            <v>AD40050116</v>
          </cell>
          <cell r="C23">
            <v>18</v>
          </cell>
          <cell r="D23" t="str">
            <v>Encarregado(inclusive encargos sociais).</v>
          </cell>
          <cell r="E23" t="str">
            <v>h</v>
          </cell>
          <cell r="F23">
            <v>8.3699999999999992</v>
          </cell>
          <cell r="G23">
            <v>2960</v>
          </cell>
        </row>
        <row r="24">
          <cell r="B24" t="str">
            <v xml:space="preserve"> AD40050122</v>
          </cell>
          <cell r="C24">
            <v>19</v>
          </cell>
          <cell r="D24" t="str">
            <v>Engenheiro ou arquiteto jr(inclusive encargos sociais).</v>
          </cell>
          <cell r="E24" t="str">
            <v>h</v>
          </cell>
          <cell r="F24">
            <v>21.39</v>
          </cell>
          <cell r="G24">
            <v>1480</v>
          </cell>
        </row>
        <row r="25">
          <cell r="B25" t="str">
            <v>AD40050134</v>
          </cell>
          <cell r="C25">
            <v>20</v>
          </cell>
          <cell r="D25" t="str">
            <v xml:space="preserve">Engenheiro sênior(inclusive encargos sociais).  </v>
          </cell>
          <cell r="E25" t="str">
            <v>h</v>
          </cell>
          <cell r="F25">
            <v>54.35</v>
          </cell>
          <cell r="G25">
            <v>1110</v>
          </cell>
        </row>
        <row r="26">
          <cell r="B26" t="str">
            <v>AD40050146</v>
          </cell>
          <cell r="C26">
            <v>21</v>
          </cell>
          <cell r="D26" t="str">
            <v xml:space="preserve">Estagiário(inclusive encargos sociais).  </v>
          </cell>
          <cell r="E26" t="str">
            <v>h</v>
          </cell>
          <cell r="F26">
            <v>2.76</v>
          </cell>
          <cell r="G26">
            <v>2960</v>
          </cell>
        </row>
        <row r="27">
          <cell r="B27" t="str">
            <v>AD40050188</v>
          </cell>
          <cell r="C27">
            <v>22</v>
          </cell>
          <cell r="D27" t="str">
            <v>Secretaria(inclusive encargos sociais).</v>
          </cell>
          <cell r="E27" t="str">
            <v>h</v>
          </cell>
          <cell r="F27">
            <v>9.24</v>
          </cell>
          <cell r="G27">
            <v>1480</v>
          </cell>
        </row>
        <row r="28">
          <cell r="B28" t="str">
            <v>AD40050200</v>
          </cell>
          <cell r="C28">
            <v>23</v>
          </cell>
          <cell r="D28" t="str">
            <v xml:space="preserve">Supervisor de trafego(inclusive encargos sociais).    </v>
          </cell>
          <cell r="E28" t="str">
            <v>h</v>
          </cell>
          <cell r="F28">
            <v>29.17</v>
          </cell>
          <cell r="G28">
            <v>2960</v>
          </cell>
        </row>
        <row r="29">
          <cell r="B29" t="str">
            <v>AD40050212</v>
          </cell>
          <cell r="C29">
            <v>24</v>
          </cell>
          <cell r="D29" t="str">
            <v xml:space="preserve">Topógrafo A(inclusive encargos sociais).  </v>
          </cell>
          <cell r="E29" t="str">
            <v>h</v>
          </cell>
          <cell r="F29">
            <v>13.78</v>
          </cell>
          <cell r="G29">
            <v>740</v>
          </cell>
        </row>
        <row r="30">
          <cell r="B30" t="str">
            <v>AD40050218</v>
          </cell>
          <cell r="C30">
            <v>25</v>
          </cell>
          <cell r="D30" t="str">
            <v>Vigia(inclusive encargos sociais).</v>
          </cell>
          <cell r="E30" t="str">
            <v>h</v>
          </cell>
          <cell r="F30">
            <v>4.63</v>
          </cell>
          <cell r="G30">
            <v>2960</v>
          </cell>
        </row>
        <row r="31">
          <cell r="B31" t="str">
            <v xml:space="preserve"> AD10050050</v>
          </cell>
          <cell r="C31">
            <v>26</v>
          </cell>
          <cell r="D31" t="str">
            <v>Marcação de obra sem instrumento topográfico.</v>
          </cell>
          <cell r="E31" t="str">
            <v>m2</v>
          </cell>
          <cell r="F31">
            <v>0.95</v>
          </cell>
          <cell r="G31">
            <v>400</v>
          </cell>
        </row>
        <row r="32">
          <cell r="B32" t="str">
            <v>AD10100100</v>
          </cell>
          <cell r="C32">
            <v>27</v>
          </cell>
          <cell r="D32" t="str">
            <v>Locação de obra com aparelho topográfico.</v>
          </cell>
          <cell r="E32" t="str">
            <v>m</v>
          </cell>
          <cell r="F32">
            <v>6.75</v>
          </cell>
          <cell r="G32">
            <v>410</v>
          </cell>
        </row>
        <row r="33">
          <cell r="B33" t="str">
            <v>AD15150750</v>
          </cell>
          <cell r="C33">
            <v>28</v>
          </cell>
          <cell r="D33" t="str">
            <v>Veiculo motor 1.0 a gasolina sem motorista.</v>
          </cell>
          <cell r="E33" t="str">
            <v>mês</v>
          </cell>
          <cell r="F33">
            <v>1269.6600000000001</v>
          </cell>
          <cell r="G33">
            <v>8</v>
          </cell>
        </row>
        <row r="34">
          <cell r="B34" t="str">
            <v>AD20250050</v>
          </cell>
          <cell r="C34">
            <v>29</v>
          </cell>
          <cell r="D34" t="str">
            <v>Barragem de bloqueio, reaproveitamento 40 vezes.</v>
          </cell>
          <cell r="E34" t="str">
            <v>m</v>
          </cell>
          <cell r="F34">
            <v>0.98</v>
          </cell>
          <cell r="G34">
            <v>970</v>
          </cell>
        </row>
        <row r="35">
          <cell r="B35" t="str">
            <v>AD20250100</v>
          </cell>
          <cell r="C35">
            <v>30</v>
          </cell>
          <cell r="D35" t="str">
            <v>Barragem de bloqueio de obra, colocação e retirada.</v>
          </cell>
          <cell r="E35" t="str">
            <v>m</v>
          </cell>
          <cell r="F35">
            <v>3.26</v>
          </cell>
          <cell r="G35">
            <v>4200</v>
          </cell>
        </row>
        <row r="36">
          <cell r="B36" t="str">
            <v>AD20250200</v>
          </cell>
          <cell r="C36">
            <v>31</v>
          </cell>
          <cell r="D36" t="str">
            <v>Placa de sinalização para obra de via publica.</v>
          </cell>
          <cell r="E36" t="str">
            <v>un</v>
          </cell>
          <cell r="F36">
            <v>37.67</v>
          </cell>
          <cell r="G36">
            <v>43</v>
          </cell>
        </row>
        <row r="37">
          <cell r="B37" t="str">
            <v>AD20250250</v>
          </cell>
          <cell r="C37">
            <v>32</v>
          </cell>
          <cell r="D37" t="str">
            <v>Placa de sinalização para obra, colocação e retirada.</v>
          </cell>
          <cell r="E37" t="str">
            <v>un</v>
          </cell>
          <cell r="F37">
            <v>0.89</v>
          </cell>
          <cell r="G37">
            <v>173</v>
          </cell>
        </row>
        <row r="38">
          <cell r="B38" t="str">
            <v>AD20250300</v>
          </cell>
          <cell r="C38">
            <v>33</v>
          </cell>
          <cell r="D38" t="str">
            <v>Placa de identificação de obra publica.</v>
          </cell>
          <cell r="E38" t="str">
            <v>m2</v>
          </cell>
          <cell r="F38">
            <v>166.66</v>
          </cell>
          <cell r="G38">
            <v>22.4</v>
          </cell>
        </row>
        <row r="39">
          <cell r="B39" t="str">
            <v>AD25050050</v>
          </cell>
          <cell r="C39">
            <v>34</v>
          </cell>
          <cell r="D39" t="str">
            <v>Aluguel de balizador vaga-lume.</v>
          </cell>
          <cell r="E39" t="str">
            <v>mês</v>
          </cell>
          <cell r="F39">
            <v>86.83</v>
          </cell>
          <cell r="G39">
            <v>960</v>
          </cell>
        </row>
        <row r="40">
          <cell r="B40" t="str">
            <v xml:space="preserve">AD25050200/  </v>
          </cell>
          <cell r="C40">
            <v>35</v>
          </cell>
          <cell r="D40" t="str">
            <v>Aluguel de cavalete plástico universa.</v>
          </cell>
          <cell r="E40" t="str">
            <v>un.mês</v>
          </cell>
          <cell r="F40">
            <v>86.83</v>
          </cell>
          <cell r="G40">
            <v>600</v>
          </cell>
        </row>
        <row r="41">
          <cell r="B41" t="str">
            <v>AD25050250</v>
          </cell>
          <cell r="C41">
            <v>36</v>
          </cell>
          <cell r="D41" t="str">
            <v>Aluguel de cone canalizador empinhavel T-Topde.</v>
          </cell>
          <cell r="E41" t="str">
            <v>un.mês</v>
          </cell>
          <cell r="F41">
            <v>32.29</v>
          </cell>
          <cell r="G41">
            <v>600</v>
          </cell>
        </row>
        <row r="42">
          <cell r="B42" t="str">
            <v>AD35150050A</v>
          </cell>
          <cell r="C42">
            <v>37</v>
          </cell>
          <cell r="D42" t="str">
            <v>Controle tecnológico de obras em concreto armado.</v>
          </cell>
          <cell r="E42" t="str">
            <v>m3</v>
          </cell>
          <cell r="F42">
            <v>12.32</v>
          </cell>
          <cell r="G42">
            <v>382</v>
          </cell>
        </row>
        <row r="43">
          <cell r="B43" t="str">
            <v xml:space="preserve">SE25100100A  </v>
          </cell>
          <cell r="C43">
            <v>38</v>
          </cell>
          <cell r="D43" t="str">
            <v>Projeto executivo para urbanização/reurbanização.</v>
          </cell>
          <cell r="E43" t="str">
            <v>há</v>
          </cell>
          <cell r="F43">
            <v>34610.160000000003</v>
          </cell>
          <cell r="G43">
            <v>5.18</v>
          </cell>
        </row>
        <row r="44">
          <cell r="B44" t="str">
            <v>SE20100050</v>
          </cell>
          <cell r="C44">
            <v>39</v>
          </cell>
          <cell r="D44" t="str">
            <v>Lançamento de linha poligonal básica.</v>
          </cell>
          <cell r="E44" t="str">
            <v>Km</v>
          </cell>
          <cell r="F44">
            <v>159.44</v>
          </cell>
          <cell r="G44">
            <v>1</v>
          </cell>
        </row>
        <row r="45">
          <cell r="B45" t="str">
            <v>SE20102500A</v>
          </cell>
          <cell r="C45">
            <v>40</v>
          </cell>
          <cell r="D45" t="str">
            <v>Nivelamento de eixo de logradouro.</v>
          </cell>
          <cell r="E45" t="str">
            <v>Km</v>
          </cell>
          <cell r="F45">
            <v>74.489999999999995</v>
          </cell>
          <cell r="G45">
            <v>1</v>
          </cell>
        </row>
        <row r="46">
          <cell r="B46" t="str">
            <v>SE20150050</v>
          </cell>
          <cell r="C46">
            <v>41</v>
          </cell>
          <cell r="D46" t="str">
            <v>Levantamento fotográfico de aspecto de área urbana.</v>
          </cell>
          <cell r="E46" t="str">
            <v>un</v>
          </cell>
          <cell r="F46">
            <v>1.8</v>
          </cell>
          <cell r="G46">
            <v>259</v>
          </cell>
        </row>
        <row r="47">
          <cell r="B47" t="str">
            <v>SE20150250</v>
          </cell>
          <cell r="C47">
            <v>42</v>
          </cell>
          <cell r="D47" t="str">
            <v>Levantamento fotográfico aéreo vertical de área urbana.</v>
          </cell>
          <cell r="E47" t="str">
            <v>conj</v>
          </cell>
          <cell r="F47">
            <v>8267.76</v>
          </cell>
          <cell r="G47">
            <v>1</v>
          </cell>
        </row>
        <row r="48">
          <cell r="B48" t="str">
            <v>SE20101600</v>
          </cell>
          <cell r="C48">
            <v>43</v>
          </cell>
          <cell r="D48" t="str">
            <v>Levantamento cadastral das profundidades de tubos.</v>
          </cell>
          <cell r="E48" t="str">
            <v>un</v>
          </cell>
          <cell r="F48">
            <v>23.05</v>
          </cell>
          <cell r="G48">
            <v>137</v>
          </cell>
        </row>
        <row r="49">
          <cell r="B49" t="str">
            <v>SE30050100</v>
          </cell>
          <cell r="C49">
            <v>44</v>
          </cell>
          <cell r="D49" t="str">
            <v>Determinação da deformação com Viga Benkelmann.</v>
          </cell>
          <cell r="E49" t="str">
            <v>un</v>
          </cell>
          <cell r="F49">
            <v>53.9</v>
          </cell>
          <cell r="G49">
            <v>144</v>
          </cell>
        </row>
        <row r="50">
          <cell r="B50" t="str">
            <v>CE05100110</v>
          </cell>
          <cell r="C50">
            <v>45</v>
          </cell>
          <cell r="D50" t="str">
            <v>Consultor de serviços técnicos especializados.</v>
          </cell>
          <cell r="E50" t="str">
            <v>h</v>
          </cell>
          <cell r="F50">
            <v>89.23</v>
          </cell>
          <cell r="G50">
            <v>726</v>
          </cell>
        </row>
        <row r="51">
          <cell r="B51" t="str">
            <v>CO05050500</v>
          </cell>
          <cell r="C51">
            <v>46</v>
          </cell>
          <cell r="D51" t="str">
            <v>Plataforma ou passarela de Pinho.</v>
          </cell>
          <cell r="E51" t="str">
            <v>m2</v>
          </cell>
          <cell r="F51">
            <v>2.31</v>
          </cell>
          <cell r="G51">
            <v>187</v>
          </cell>
        </row>
        <row r="52">
          <cell r="B52" t="str">
            <v>CO05100050</v>
          </cell>
          <cell r="C52">
            <v>47</v>
          </cell>
          <cell r="D52" t="str">
            <v>Aluguel de andaime tubular sobre sapatas fixas.</v>
          </cell>
          <cell r="E52" t="str">
            <v>m2.mês</v>
          </cell>
          <cell r="F52">
            <v>2.2000000000000002</v>
          </cell>
          <cell r="G52">
            <v>2100</v>
          </cell>
        </row>
        <row r="53">
          <cell r="B53" t="str">
            <v>CO05150100</v>
          </cell>
          <cell r="C53">
            <v>48</v>
          </cell>
          <cell r="D53" t="str">
            <v>Montagem e desmontagem de andaime tubular.</v>
          </cell>
          <cell r="E53" t="str">
            <v>m2</v>
          </cell>
          <cell r="F53">
            <v>1.77</v>
          </cell>
          <cell r="G53">
            <v>350</v>
          </cell>
        </row>
        <row r="54">
          <cell r="B54" t="str">
            <v>CO05150300</v>
          </cell>
          <cell r="C54">
            <v>49</v>
          </cell>
          <cell r="D54" t="str">
            <v>Movimentação vertical ou horizontal de plataforma.</v>
          </cell>
          <cell r="E54" t="str">
            <v>m2</v>
          </cell>
          <cell r="F54">
            <v>0.14000000000000001</v>
          </cell>
          <cell r="G54">
            <v>350</v>
          </cell>
        </row>
        <row r="55">
          <cell r="B55" t="str">
            <v>MT05300100</v>
          </cell>
          <cell r="C55">
            <v>50</v>
          </cell>
          <cell r="D55" t="str">
            <v>Escavação manual em material de 1a categoria.</v>
          </cell>
          <cell r="E55" t="str">
            <v>m3</v>
          </cell>
          <cell r="F55">
            <v>12.4</v>
          </cell>
          <cell r="G55">
            <v>10700</v>
          </cell>
        </row>
        <row r="56">
          <cell r="B56" t="str">
            <v>MT10050050</v>
          </cell>
          <cell r="C56">
            <v>51</v>
          </cell>
          <cell r="D56" t="str">
            <v xml:space="preserve">Escavação mecânica, utilizando Retro-Escavadeira. </v>
          </cell>
          <cell r="E56" t="str">
            <v>m3</v>
          </cell>
          <cell r="F56">
            <v>2.77</v>
          </cell>
          <cell r="G56">
            <v>36800</v>
          </cell>
        </row>
        <row r="57">
          <cell r="B57" t="str">
            <v>MT10100050</v>
          </cell>
          <cell r="C57">
            <v>52</v>
          </cell>
          <cell r="D57" t="str">
            <v>Escavação mecânica, utilizando Escavadeira.</v>
          </cell>
          <cell r="E57" t="str">
            <v>m3</v>
          </cell>
          <cell r="F57">
            <v>0.96</v>
          </cell>
          <cell r="G57">
            <v>7300</v>
          </cell>
        </row>
        <row r="58">
          <cell r="B58" t="str">
            <v>MT15050250</v>
          </cell>
          <cell r="C58">
            <v>53</v>
          </cell>
          <cell r="D58" t="str">
            <v xml:space="preserve">Reaterro de vala com material de boa qualidade. </v>
          </cell>
          <cell r="E58" t="str">
            <v>m3</v>
          </cell>
          <cell r="F58">
            <v>9.3000000000000007</v>
          </cell>
          <cell r="G58">
            <v>13700</v>
          </cell>
        </row>
        <row r="59">
          <cell r="B59" t="str">
            <v>MT15050300</v>
          </cell>
          <cell r="C59">
            <v>54</v>
          </cell>
          <cell r="D59" t="str">
            <v>Reaterro de vala, com po-de-pedra.</v>
          </cell>
          <cell r="E59" t="str">
            <v>m3</v>
          </cell>
          <cell r="F59">
            <v>36.18</v>
          </cell>
          <cell r="G59">
            <v>19600</v>
          </cell>
        </row>
        <row r="60">
          <cell r="B60" t="str">
            <v>MT05250050</v>
          </cell>
          <cell r="C60">
            <v>55</v>
          </cell>
          <cell r="D60" t="str">
            <v>Desmonte manual de bloco de 3a categoria.</v>
          </cell>
          <cell r="E60" t="str">
            <v>m3</v>
          </cell>
          <cell r="F60">
            <v>32.14</v>
          </cell>
          <cell r="G60">
            <v>7050</v>
          </cell>
        </row>
        <row r="61">
          <cell r="B61" t="str">
            <v>MT05450050</v>
          </cell>
          <cell r="C61">
            <v>56</v>
          </cell>
          <cell r="D61" t="str">
            <v>Desmonte a fogo de bloco de material de 3a categoria.</v>
          </cell>
          <cell r="E61" t="str">
            <v>m3</v>
          </cell>
          <cell r="F61">
            <v>66.56</v>
          </cell>
          <cell r="G61">
            <v>8545</v>
          </cell>
        </row>
        <row r="62">
          <cell r="B62" t="str">
            <v>MT15150050</v>
          </cell>
          <cell r="C62">
            <v>57</v>
          </cell>
          <cell r="D62" t="str">
            <v>Preparo de solo ate 30cm de profundidade.</v>
          </cell>
          <cell r="E62" t="str">
            <v>m2</v>
          </cell>
          <cell r="F62">
            <v>5.46</v>
          </cell>
          <cell r="G62">
            <v>17842</v>
          </cell>
        </row>
        <row r="63">
          <cell r="B63" t="str">
            <v>MT20050050</v>
          </cell>
          <cell r="C63">
            <v>58</v>
          </cell>
          <cell r="D63" t="str">
            <v>Espalhamento de material de 1a categoria.</v>
          </cell>
          <cell r="E63" t="str">
            <v>m3</v>
          </cell>
          <cell r="F63">
            <v>0.24</v>
          </cell>
          <cell r="G63">
            <v>70776</v>
          </cell>
        </row>
        <row r="64">
          <cell r="B64" t="str">
            <v>TC05050350</v>
          </cell>
          <cell r="C64">
            <v>59</v>
          </cell>
          <cell r="D64" t="str">
            <v>Transporte de carga de qualquer natureza.</v>
          </cell>
          <cell r="E64" t="str">
            <v>t.Km</v>
          </cell>
          <cell r="F64">
            <v>0.39</v>
          </cell>
          <cell r="G64">
            <v>1880000</v>
          </cell>
        </row>
        <row r="65">
          <cell r="B65" t="str">
            <v>TC10050150</v>
          </cell>
          <cell r="C65">
            <v>60</v>
          </cell>
          <cell r="D65" t="str">
            <v>Carga manual e descarga mecânica.</v>
          </cell>
          <cell r="E65" t="str">
            <v>t</v>
          </cell>
          <cell r="F65">
            <v>7.38</v>
          </cell>
          <cell r="G65">
            <v>47000</v>
          </cell>
        </row>
        <row r="66">
          <cell r="B66" t="str">
            <v>EQ05050100A</v>
          </cell>
          <cell r="C66">
            <v>61</v>
          </cell>
          <cell r="D66" t="str">
            <v xml:space="preserve">Caminhão basculante. Custo horário produtivo.     </v>
          </cell>
          <cell r="E66" t="str">
            <v>h</v>
          </cell>
          <cell r="F66">
            <v>45.34</v>
          </cell>
          <cell r="G66">
            <v>2446</v>
          </cell>
        </row>
        <row r="67">
          <cell r="B67" t="str">
            <v>EQ05050103A</v>
          </cell>
          <cell r="C67">
            <v>62</v>
          </cell>
          <cell r="D67" t="str">
            <v>Caminhão basculante. Custo horário improdutivo.</v>
          </cell>
          <cell r="E67" t="str">
            <v>h</v>
          </cell>
          <cell r="F67">
            <v>25.39</v>
          </cell>
          <cell r="G67">
            <v>432</v>
          </cell>
        </row>
        <row r="68">
          <cell r="B68" t="str">
            <v>EQ05050300</v>
          </cell>
          <cell r="C68">
            <v>63</v>
          </cell>
          <cell r="D68" t="str">
            <v>Caminhão com Carroceria Fixa. Aluguel produtivo.</v>
          </cell>
          <cell r="E68" t="str">
            <v>h</v>
          </cell>
          <cell r="F68">
            <v>32.28</v>
          </cell>
          <cell r="G68">
            <v>1957</v>
          </cell>
        </row>
        <row r="69">
          <cell r="B69" t="str">
            <v>EQ05050306</v>
          </cell>
          <cell r="C69">
            <v>64</v>
          </cell>
          <cell r="D69" t="str">
            <v>Caminhão com Carroceria Fixa. Aluguel improdutivo.</v>
          </cell>
          <cell r="E69" t="str">
            <v>h</v>
          </cell>
          <cell r="F69">
            <v>8.5399999999999991</v>
          </cell>
          <cell r="G69">
            <v>346</v>
          </cell>
        </row>
        <row r="70">
          <cell r="B70" t="str">
            <v>EQ05050415</v>
          </cell>
          <cell r="C70">
            <v>65</v>
          </cell>
          <cell r="D70" t="str">
            <v xml:space="preserve">Caminhão Carroceria Fixa F-12000 Munck produtivo.               </v>
          </cell>
          <cell r="E70" t="str">
            <v>h</v>
          </cell>
          <cell r="F70">
            <v>53.72</v>
          </cell>
          <cell r="G70">
            <v>3453</v>
          </cell>
        </row>
        <row r="71">
          <cell r="B71" t="str">
            <v>EQ15050450</v>
          </cell>
          <cell r="C71">
            <v>66</v>
          </cell>
          <cell r="D71" t="str">
            <v xml:space="preserve">Pa-carregadeira(Carregador frontal). Custo produtivo.  </v>
          </cell>
          <cell r="E71" t="str">
            <v>h</v>
          </cell>
          <cell r="F71">
            <v>68.34</v>
          </cell>
          <cell r="G71">
            <v>1345</v>
          </cell>
        </row>
        <row r="72">
          <cell r="B72" t="str">
            <v>EQ15050453</v>
          </cell>
          <cell r="C72">
            <v>67</v>
          </cell>
          <cell r="D72" t="str">
            <v>Pa-carregadeira(Carregador Frontal).Custo improdutivo.</v>
          </cell>
          <cell r="E72" t="str">
            <v>h</v>
          </cell>
          <cell r="F72">
            <v>31.05</v>
          </cell>
          <cell r="G72">
            <v>237</v>
          </cell>
        </row>
        <row r="73">
          <cell r="B73" t="str">
            <v>EQ15050500</v>
          </cell>
          <cell r="C73">
            <v>68</v>
          </cell>
          <cell r="D73" t="str">
            <v xml:space="preserve">Retro-Escavadeira/carregadeira. Custo produtivo. </v>
          </cell>
          <cell r="E73" t="str">
            <v>h</v>
          </cell>
          <cell r="F73">
            <v>45.49</v>
          </cell>
          <cell r="G73">
            <v>1439</v>
          </cell>
        </row>
        <row r="74">
          <cell r="B74" t="str">
            <v>EQ30050200</v>
          </cell>
          <cell r="C74">
            <v>69</v>
          </cell>
          <cell r="D74" t="str">
            <v>Betoneira com capacidade de 580l, Aluguel produtivo.</v>
          </cell>
          <cell r="E74" t="str">
            <v>h</v>
          </cell>
          <cell r="F74">
            <v>4.71</v>
          </cell>
          <cell r="G74">
            <v>2041</v>
          </cell>
        </row>
        <row r="75">
          <cell r="B75" t="str">
            <v>EQ30050206</v>
          </cell>
          <cell r="C75">
            <v>70</v>
          </cell>
          <cell r="D75" t="str">
            <v>Betoneira com capacidade de 580l Aluguel improdutivo.</v>
          </cell>
          <cell r="E75" t="str">
            <v>h</v>
          </cell>
          <cell r="F75">
            <v>1.56</v>
          </cell>
          <cell r="G75">
            <v>216</v>
          </cell>
        </row>
        <row r="76">
          <cell r="B76" t="str">
            <v>EQ15050550</v>
          </cell>
          <cell r="C76">
            <v>71</v>
          </cell>
          <cell r="D76" t="str">
            <v xml:space="preserve">Rompedor Pneumático de 32,6Kg Aluguel produtivo. </v>
          </cell>
          <cell r="E76" t="str">
            <v>h</v>
          </cell>
          <cell r="F76">
            <v>1.05</v>
          </cell>
          <cell r="G76">
            <v>648</v>
          </cell>
        </row>
        <row r="77">
          <cell r="B77" t="str">
            <v>EQ15050556</v>
          </cell>
          <cell r="C77">
            <v>72</v>
          </cell>
          <cell r="D77" t="str">
            <v>Rompedor Pneumático de 32,6Kg Aluguel improdutivo.</v>
          </cell>
          <cell r="E77" t="str">
            <v>h</v>
          </cell>
          <cell r="F77">
            <v>0.7</v>
          </cell>
          <cell r="G77">
            <v>72</v>
          </cell>
        </row>
        <row r="78">
          <cell r="B78" t="str">
            <v xml:space="preserve"> EQ20050800</v>
          </cell>
          <cell r="C78">
            <v>73</v>
          </cell>
          <cell r="D78" t="str">
            <v xml:space="preserve">Vassoura Mecânica, rebocável, Aluguel produtivo.   </v>
          </cell>
          <cell r="E78" t="str">
            <v>h</v>
          </cell>
          <cell r="F78">
            <v>3.58</v>
          </cell>
          <cell r="G78">
            <v>1712</v>
          </cell>
        </row>
        <row r="79">
          <cell r="B79" t="str">
            <v>EQ20050806</v>
          </cell>
          <cell r="C79">
            <v>74</v>
          </cell>
          <cell r="D79" t="str">
            <v>Vassoura Mecânica, rebocável, Aluguel improdutivo.</v>
          </cell>
          <cell r="E79" t="str">
            <v>h</v>
          </cell>
          <cell r="F79">
            <v>1.43</v>
          </cell>
          <cell r="G79">
            <v>216</v>
          </cell>
        </row>
        <row r="80">
          <cell r="B80" t="str">
            <v>EQ35100200</v>
          </cell>
          <cell r="C80">
            <v>75</v>
          </cell>
          <cell r="D80" t="str">
            <v xml:space="preserve">Bomba Centrífuga Submersível. Aluguel produtivo.    </v>
          </cell>
          <cell r="E80" t="str">
            <v>h</v>
          </cell>
          <cell r="F80">
            <v>3.6</v>
          </cell>
          <cell r="G80">
            <v>8632</v>
          </cell>
        </row>
        <row r="81">
          <cell r="B81" t="str">
            <v>EQ35100203</v>
          </cell>
          <cell r="C81">
            <v>76</v>
          </cell>
          <cell r="D81" t="str">
            <v>Bomba Centrífuga Submersível. Aluguel improdutivo.</v>
          </cell>
          <cell r="E81" t="str">
            <v>h</v>
          </cell>
          <cell r="F81">
            <v>1.4</v>
          </cell>
          <cell r="G81">
            <v>863</v>
          </cell>
        </row>
        <row r="82">
          <cell r="B82" t="str">
            <v>EQ45050159</v>
          </cell>
          <cell r="C82">
            <v>77</v>
          </cell>
          <cell r="D82" t="str">
            <v>Compressor de ar. Aluguel improdutivo.</v>
          </cell>
          <cell r="E82" t="str">
            <v>h</v>
          </cell>
          <cell r="F82">
            <v>3.64</v>
          </cell>
          <cell r="G82">
            <v>72</v>
          </cell>
        </row>
        <row r="83">
          <cell r="B83" t="str">
            <v>EQ45150100</v>
          </cell>
          <cell r="C83">
            <v>78</v>
          </cell>
          <cell r="D83" t="str">
            <v>Retificador de solda elétrica de 430A.</v>
          </cell>
          <cell r="E83" t="str">
            <v>h</v>
          </cell>
          <cell r="F83">
            <v>7.16</v>
          </cell>
          <cell r="G83">
            <v>1007</v>
          </cell>
        </row>
        <row r="84">
          <cell r="B84" t="str">
            <v>EQ40050150A</v>
          </cell>
          <cell r="C84">
            <v>79</v>
          </cell>
          <cell r="D84" t="str">
            <v>Equipamento de jato d'água (Sewer-Jet ou similar).</v>
          </cell>
          <cell r="E84" t="str">
            <v>h</v>
          </cell>
          <cell r="F84">
            <v>79.2</v>
          </cell>
          <cell r="G84">
            <v>1079</v>
          </cell>
        </row>
        <row r="85">
          <cell r="B85" t="str">
            <v>EQ40050153A</v>
          </cell>
          <cell r="C85">
            <v>80</v>
          </cell>
          <cell r="D85" t="str">
            <v>Equipamento de alta pressão  (Vac-All ou similar).</v>
          </cell>
          <cell r="E85" t="str">
            <v>h</v>
          </cell>
          <cell r="F85">
            <v>104.07</v>
          </cell>
          <cell r="G85">
            <v>1942</v>
          </cell>
        </row>
        <row r="86">
          <cell r="B86" t="str">
            <v>SC05050050</v>
          </cell>
          <cell r="C86">
            <v>81</v>
          </cell>
          <cell r="D86" t="str">
            <v>Arrancamento de aparelhos de iluminação.</v>
          </cell>
          <cell r="E86" t="str">
            <v>un</v>
          </cell>
          <cell r="F86">
            <v>1.67</v>
          </cell>
          <cell r="G86">
            <v>65</v>
          </cell>
        </row>
        <row r="87">
          <cell r="B87" t="str">
            <v>SC05050200</v>
          </cell>
          <cell r="C87">
            <v>82</v>
          </cell>
          <cell r="D87" t="str">
            <v>Arrancamento de grades, gradis, alambrados, cercas.</v>
          </cell>
          <cell r="E87" t="str">
            <v>m2</v>
          </cell>
          <cell r="F87">
            <v>4.43</v>
          </cell>
          <cell r="G87">
            <v>144</v>
          </cell>
        </row>
        <row r="88">
          <cell r="B88" t="str">
            <v>SC05050250</v>
          </cell>
          <cell r="C88">
            <v>83</v>
          </cell>
          <cell r="D88" t="str">
            <v>Arrancamento de meios-fios, de granito ou concreto.</v>
          </cell>
          <cell r="E88" t="str">
            <v>m</v>
          </cell>
          <cell r="F88">
            <v>4.87</v>
          </cell>
          <cell r="G88">
            <v>3739</v>
          </cell>
        </row>
        <row r="89">
          <cell r="B89" t="str">
            <v>SC05050300</v>
          </cell>
          <cell r="C89">
            <v>84</v>
          </cell>
          <cell r="D89" t="str">
            <v>Arrancamento de paralelepípedos.</v>
          </cell>
          <cell r="E89" t="str">
            <v>m2</v>
          </cell>
          <cell r="F89">
            <v>2.21</v>
          </cell>
          <cell r="G89">
            <v>860</v>
          </cell>
        </row>
        <row r="90">
          <cell r="B90" t="str">
            <v>SC05050500</v>
          </cell>
          <cell r="C90">
            <v>85</v>
          </cell>
          <cell r="D90" t="str">
            <v>Arrancamento tubos concreto manilhas ø 0,40 a 0,60m.</v>
          </cell>
          <cell r="E90" t="str">
            <v>m</v>
          </cell>
          <cell r="F90">
            <v>3.99</v>
          </cell>
          <cell r="G90">
            <v>328</v>
          </cell>
        </row>
        <row r="91">
          <cell r="B91" t="str">
            <v>SC05050601</v>
          </cell>
          <cell r="C91">
            <v>86</v>
          </cell>
          <cell r="D91" t="str">
            <v>Demolição manual de alvenaria de pedra argamassada.</v>
          </cell>
          <cell r="E91" t="str">
            <v>m3</v>
          </cell>
          <cell r="F91">
            <v>30.27</v>
          </cell>
          <cell r="G91">
            <v>324</v>
          </cell>
        </row>
        <row r="92">
          <cell r="B92" t="str">
            <v>SC05050750</v>
          </cell>
          <cell r="C92">
            <v>87</v>
          </cell>
          <cell r="D92" t="str">
            <v>Demolição manual de alvenaria de tijolos maciços.</v>
          </cell>
          <cell r="E92" t="str">
            <v>m3</v>
          </cell>
          <cell r="F92">
            <v>52.99</v>
          </cell>
          <cell r="G92">
            <v>130</v>
          </cell>
        </row>
        <row r="93">
          <cell r="B93" t="str">
            <v>SC05050850</v>
          </cell>
          <cell r="C93">
            <v>88</v>
          </cell>
          <cell r="D93" t="str">
            <v>Demolição manual de concreto simples.</v>
          </cell>
          <cell r="E93" t="str">
            <v>m3</v>
          </cell>
          <cell r="F93">
            <v>60.55</v>
          </cell>
          <cell r="G93">
            <v>1904</v>
          </cell>
        </row>
        <row r="94">
          <cell r="B94" t="str">
            <v>SC05050950</v>
          </cell>
          <cell r="C94">
            <v>89</v>
          </cell>
          <cell r="D94" t="str">
            <v>Demolição manual de concreto armado.</v>
          </cell>
          <cell r="E94" t="str">
            <v>m3</v>
          </cell>
          <cell r="F94">
            <v>85.78</v>
          </cell>
          <cell r="G94">
            <v>140</v>
          </cell>
        </row>
        <row r="95">
          <cell r="B95" t="str">
            <v>SC05051400</v>
          </cell>
          <cell r="C95">
            <v>90</v>
          </cell>
          <cell r="D95" t="str">
            <v>Demolição de revestimento em argamassa.</v>
          </cell>
          <cell r="E95" t="str">
            <v>m2</v>
          </cell>
          <cell r="F95">
            <v>2.21</v>
          </cell>
          <cell r="G95">
            <v>144</v>
          </cell>
        </row>
        <row r="96">
          <cell r="B96" t="str">
            <v>SC05051450</v>
          </cell>
          <cell r="C96">
            <v>91</v>
          </cell>
          <cell r="D96" t="str">
            <v>Demolição de revestimento em azulejos, cerâmicas.</v>
          </cell>
          <cell r="E96" t="str">
            <v>m2</v>
          </cell>
          <cell r="F96">
            <v>5.31</v>
          </cell>
          <cell r="G96">
            <v>130</v>
          </cell>
        </row>
        <row r="97">
          <cell r="B97" t="str">
            <v>SC05052150</v>
          </cell>
          <cell r="C97">
            <v>92</v>
          </cell>
          <cell r="D97" t="str">
            <v>Remoção de cobertura de telha francesa.</v>
          </cell>
          <cell r="E97" t="str">
            <v>m2</v>
          </cell>
          <cell r="F97">
            <v>8.26</v>
          </cell>
          <cell r="G97">
            <v>260</v>
          </cell>
        </row>
        <row r="98">
          <cell r="B98" t="str">
            <v>SC05052450</v>
          </cell>
          <cell r="C98">
            <v>93</v>
          </cell>
          <cell r="D98" t="str">
            <v>Remoção de cobertura de telha de fibro-cimento.</v>
          </cell>
          <cell r="E98" t="str">
            <v>m2</v>
          </cell>
          <cell r="F98">
            <v>3.87</v>
          </cell>
          <cell r="G98">
            <v>460</v>
          </cell>
        </row>
        <row r="99">
          <cell r="B99" t="str">
            <v>SC05052900</v>
          </cell>
          <cell r="C99">
            <v>94</v>
          </cell>
          <cell r="D99" t="str">
            <v xml:space="preserve">Remoção manual de passeio de pedra portuguesa. </v>
          </cell>
          <cell r="E99" t="str">
            <v>m2</v>
          </cell>
          <cell r="F99">
            <v>2.44</v>
          </cell>
          <cell r="G99">
            <v>2900</v>
          </cell>
        </row>
        <row r="100">
          <cell r="B100" t="str">
            <v>SC05053250</v>
          </cell>
          <cell r="C100">
            <v>95</v>
          </cell>
          <cell r="D100" t="str">
            <v>Remoção de tubulação ferro fundido ø50mm a 300mm.</v>
          </cell>
          <cell r="E100" t="str">
            <v>m</v>
          </cell>
          <cell r="F100">
            <v>11.88</v>
          </cell>
          <cell r="G100">
            <v>290</v>
          </cell>
        </row>
        <row r="101">
          <cell r="B101" t="str">
            <v>SC05100150</v>
          </cell>
          <cell r="C101">
            <v>96</v>
          </cell>
          <cell r="D101" t="str">
            <v>Demolição, com equipamento, concreto simples.</v>
          </cell>
          <cell r="E101" t="str">
            <v>m3</v>
          </cell>
          <cell r="F101">
            <v>43.52</v>
          </cell>
          <cell r="G101">
            <v>2160</v>
          </cell>
        </row>
        <row r="102">
          <cell r="B102" t="str">
            <v>SC05100300</v>
          </cell>
          <cell r="C102">
            <v>97</v>
          </cell>
          <cell r="D102" t="str">
            <v>Demolição, com equipamento concreto armado.</v>
          </cell>
          <cell r="E102" t="str">
            <v>m3</v>
          </cell>
          <cell r="F102">
            <v>73.98</v>
          </cell>
          <cell r="G102">
            <v>3400</v>
          </cell>
        </row>
        <row r="103">
          <cell r="B103" t="str">
            <v>SC05100500</v>
          </cell>
          <cell r="C103">
            <v>98</v>
          </cell>
          <cell r="D103" t="str">
            <v>Demolição com equip. concreto asfáltico 10cm.</v>
          </cell>
          <cell r="E103" t="str">
            <v>m2</v>
          </cell>
          <cell r="F103">
            <v>8.98</v>
          </cell>
          <cell r="G103">
            <v>20100</v>
          </cell>
        </row>
        <row r="104">
          <cell r="B104" t="str">
            <v>SC10050250</v>
          </cell>
          <cell r="C104">
            <v>99</v>
          </cell>
          <cell r="D104" t="str">
            <v xml:space="preserve">Bombeiro hidráulico (inclusive encargos sociais).   </v>
          </cell>
          <cell r="E104" t="str">
            <v>h</v>
          </cell>
          <cell r="F104">
            <v>6.48</v>
          </cell>
          <cell r="G104">
            <v>2960</v>
          </cell>
        </row>
        <row r="105">
          <cell r="B105" t="str">
            <v>SC10050300</v>
          </cell>
          <cell r="C105">
            <v>100</v>
          </cell>
          <cell r="D105" t="str">
            <v xml:space="preserve">Calceteiro (inclusive encargos sociais).   </v>
          </cell>
          <cell r="E105" t="str">
            <v>h</v>
          </cell>
          <cell r="F105">
            <v>5.99</v>
          </cell>
          <cell r="G105">
            <v>1480</v>
          </cell>
        </row>
        <row r="106">
          <cell r="B106" t="str">
            <v>SC10050350</v>
          </cell>
          <cell r="C106">
            <v>101</v>
          </cell>
          <cell r="D106" t="str">
            <v>Carpinteiro de forma (inclusive encargos sociais).</v>
          </cell>
          <cell r="E106" t="str">
            <v>h</v>
          </cell>
          <cell r="F106">
            <v>5.99</v>
          </cell>
          <cell r="G106">
            <v>1480</v>
          </cell>
        </row>
        <row r="107">
          <cell r="B107" t="str">
            <v>SC10050450</v>
          </cell>
          <cell r="C107">
            <v>102</v>
          </cell>
          <cell r="D107" t="str">
            <v xml:space="preserve">Eletricista (inclusive encargos sociais). </v>
          </cell>
          <cell r="E107" t="str">
            <v>h</v>
          </cell>
          <cell r="F107">
            <v>6.48</v>
          </cell>
          <cell r="G107">
            <v>2960</v>
          </cell>
        </row>
        <row r="108">
          <cell r="B108" t="str">
            <v>SC10050900</v>
          </cell>
          <cell r="C108">
            <v>103</v>
          </cell>
          <cell r="D108" t="str">
            <v xml:space="preserve">Marteleteiro (inclusive encargos sociais). </v>
          </cell>
          <cell r="E108" t="str">
            <v>h</v>
          </cell>
          <cell r="F108">
            <v>5.99</v>
          </cell>
          <cell r="G108">
            <v>2960</v>
          </cell>
        </row>
        <row r="109">
          <cell r="B109" t="str">
            <v>SC10051100</v>
          </cell>
          <cell r="C109">
            <v>104</v>
          </cell>
          <cell r="D109" t="str">
            <v>Operador de máquinas.(inclusive encargos sociais).</v>
          </cell>
          <cell r="E109" t="str">
            <v>h</v>
          </cell>
          <cell r="F109">
            <v>6.48</v>
          </cell>
          <cell r="G109">
            <v>1480</v>
          </cell>
        </row>
        <row r="110">
          <cell r="B110" t="str">
            <v>SC10051200</v>
          </cell>
          <cell r="C110">
            <v>105</v>
          </cell>
          <cell r="D110" t="str">
            <v xml:space="preserve">Pedreiro (inclusive encargos sociais).   </v>
          </cell>
          <cell r="E110" t="str">
            <v>h</v>
          </cell>
          <cell r="F110">
            <v>5.99</v>
          </cell>
          <cell r="G110">
            <v>2960</v>
          </cell>
        </row>
        <row r="111">
          <cell r="B111" t="str">
            <v>SC10051450</v>
          </cell>
          <cell r="C111">
            <v>106</v>
          </cell>
          <cell r="D111" t="str">
            <v>Servente (inclusive encargos sociais).</v>
          </cell>
          <cell r="E111" t="str">
            <v>h</v>
          </cell>
          <cell r="F111">
            <v>4.3</v>
          </cell>
          <cell r="G111">
            <v>5920</v>
          </cell>
        </row>
        <row r="112">
          <cell r="B112" t="str">
            <v>SC10051500</v>
          </cell>
          <cell r="C112">
            <v>107</v>
          </cell>
          <cell r="D112" t="str">
            <v>Soldador em construção civil (inclusive encargos).</v>
          </cell>
          <cell r="E112" t="str">
            <v>h</v>
          </cell>
          <cell r="F112">
            <v>6.23</v>
          </cell>
          <cell r="G112">
            <v>1480</v>
          </cell>
        </row>
        <row r="113">
          <cell r="B113" t="str">
            <v>SC10100050</v>
          </cell>
          <cell r="C113">
            <v>108</v>
          </cell>
          <cell r="D113" t="str">
            <v xml:space="preserve">Operador de tráfego(inclusive encargos sociais). </v>
          </cell>
          <cell r="E113" t="str">
            <v>h</v>
          </cell>
          <cell r="F113">
            <v>7.08</v>
          </cell>
          <cell r="G113">
            <v>2960</v>
          </cell>
        </row>
        <row r="114">
          <cell r="B114" t="str">
            <v>SC05100050</v>
          </cell>
          <cell r="C114">
            <v>109</v>
          </cell>
          <cell r="D114" t="str">
            <v>Arrancamento de tampão de ferro fundido.</v>
          </cell>
          <cell r="E114" t="str">
            <v>un</v>
          </cell>
          <cell r="F114">
            <v>15.18</v>
          </cell>
          <cell r="G114">
            <v>22</v>
          </cell>
        </row>
        <row r="115">
          <cell r="B115" t="str">
            <v>SC15050100</v>
          </cell>
          <cell r="C115">
            <v>110</v>
          </cell>
          <cell r="D115" t="str">
            <v>Aditivo de reciclagem para mistura asfáltica a quente.</v>
          </cell>
          <cell r="E115" t="str">
            <v>t</v>
          </cell>
          <cell r="F115">
            <v>2857.32</v>
          </cell>
          <cell r="G115">
            <v>15</v>
          </cell>
        </row>
        <row r="116">
          <cell r="B116" t="str">
            <v>SC15050150</v>
          </cell>
          <cell r="C116">
            <v>111</v>
          </cell>
          <cell r="D116" t="str">
            <v>Areia grossa lavada. Fornecimento.</v>
          </cell>
          <cell r="E116" t="str">
            <v>m3</v>
          </cell>
          <cell r="F116">
            <v>21</v>
          </cell>
          <cell r="G116">
            <v>2000</v>
          </cell>
        </row>
        <row r="117">
          <cell r="B117" t="str">
            <v>SC15050200</v>
          </cell>
          <cell r="C117">
            <v>112</v>
          </cell>
          <cell r="D117" t="str">
            <v>Asfalto diluído tipo cura rápida CR-250</v>
          </cell>
          <cell r="E117" t="str">
            <v>t</v>
          </cell>
          <cell r="F117">
            <v>1468.02</v>
          </cell>
          <cell r="G117">
            <v>7</v>
          </cell>
        </row>
        <row r="118">
          <cell r="B118" t="str">
            <v>SC15050550</v>
          </cell>
          <cell r="C118">
            <v>113</v>
          </cell>
          <cell r="D118" t="str">
            <v xml:space="preserve">Saibro, inclusive transporte ate 20Km.Fornecimento. </v>
          </cell>
          <cell r="E118" t="str">
            <v>m3</v>
          </cell>
          <cell r="F118">
            <v>20.63</v>
          </cell>
          <cell r="G118">
            <v>184</v>
          </cell>
        </row>
        <row r="119">
          <cell r="B119" t="str">
            <v>SC15100050</v>
          </cell>
          <cell r="C119">
            <v>114</v>
          </cell>
          <cell r="D119" t="str">
            <v>Chapa de aço de 3/4"para passagem de veículos.</v>
          </cell>
          <cell r="E119" t="str">
            <v>m2</v>
          </cell>
          <cell r="F119">
            <v>17.100000000000001</v>
          </cell>
          <cell r="G119">
            <v>360</v>
          </cell>
        </row>
        <row r="120">
          <cell r="B120" t="str">
            <v>SC35050050A</v>
          </cell>
          <cell r="C120">
            <v>115</v>
          </cell>
          <cell r="D120" t="str">
            <v>Levantamento ou rebaixamento de tampão na rua.</v>
          </cell>
          <cell r="E120" t="str">
            <v>un</v>
          </cell>
          <cell r="F120">
            <v>86.15</v>
          </cell>
          <cell r="G120">
            <v>169</v>
          </cell>
        </row>
        <row r="121">
          <cell r="B121" t="str">
            <v>SC45050150</v>
          </cell>
          <cell r="C121">
            <v>116</v>
          </cell>
          <cell r="D121" t="str">
            <v>Toten informativo nas dimensões de (0,50x1,50)m.</v>
          </cell>
          <cell r="E121" t="str">
            <v>un</v>
          </cell>
          <cell r="F121">
            <v>2490</v>
          </cell>
          <cell r="G121">
            <v>29</v>
          </cell>
        </row>
        <row r="122">
          <cell r="B122" t="str">
            <v>SC45100200</v>
          </cell>
          <cell r="C122">
            <v>117</v>
          </cell>
          <cell r="D122" t="str">
            <v>Placa de inauguração em bronze.</v>
          </cell>
          <cell r="E122" t="str">
            <v>un</v>
          </cell>
          <cell r="F122">
            <v>1003.36</v>
          </cell>
          <cell r="G122">
            <v>1</v>
          </cell>
        </row>
        <row r="123">
          <cell r="B123" t="str">
            <v>FD05400100</v>
          </cell>
          <cell r="C123">
            <v>118</v>
          </cell>
          <cell r="D123" t="str">
            <v>Arrasamento de estaca concreto armado, ø40 a 50cm.</v>
          </cell>
          <cell r="E123" t="str">
            <v>un</v>
          </cell>
          <cell r="F123">
            <v>103.03</v>
          </cell>
          <cell r="G123">
            <v>23</v>
          </cell>
        </row>
        <row r="124">
          <cell r="B124" t="str">
            <v>FD05500050</v>
          </cell>
          <cell r="C124">
            <v>119</v>
          </cell>
          <cell r="D124" t="str">
            <v>Estaca raiz com diâmetro de 12", perfurada em solo.</v>
          </cell>
          <cell r="E124" t="str">
            <v>m</v>
          </cell>
          <cell r="F124">
            <v>248.49</v>
          </cell>
          <cell r="G124">
            <v>260</v>
          </cell>
        </row>
        <row r="125">
          <cell r="B125" t="str">
            <v>FD05650150</v>
          </cell>
          <cell r="C125">
            <v>120</v>
          </cell>
          <cell r="D125" t="str">
            <v>Estaca raiz com diâmetro de 10", perfurada em solo.</v>
          </cell>
          <cell r="E125" t="str">
            <v>m</v>
          </cell>
          <cell r="F125">
            <v>130</v>
          </cell>
          <cell r="G125">
            <v>86</v>
          </cell>
        </row>
        <row r="126">
          <cell r="B126" t="str">
            <v>FD10050100</v>
          </cell>
          <cell r="C126">
            <v>121</v>
          </cell>
          <cell r="D126" t="str">
            <v>Ensecadeira de estacas-prancha de aço, tipo Armco.</v>
          </cell>
          <cell r="E126" t="str">
            <v>m2</v>
          </cell>
          <cell r="F126">
            <v>127.53</v>
          </cell>
          <cell r="G126">
            <v>4200</v>
          </cell>
        </row>
        <row r="127">
          <cell r="B127" t="str">
            <v>FD10100050</v>
          </cell>
          <cell r="C127">
            <v>122</v>
          </cell>
          <cell r="D127" t="str">
            <v>Ensecadeira de estacas-prancha em Maçaranduba.</v>
          </cell>
          <cell r="E127" t="str">
            <v>m2</v>
          </cell>
          <cell r="F127">
            <v>70.5</v>
          </cell>
          <cell r="G127">
            <v>2395</v>
          </cell>
        </row>
        <row r="128">
          <cell r="B128" t="str">
            <v>ET15100100</v>
          </cell>
          <cell r="C128">
            <v>123</v>
          </cell>
          <cell r="D128" t="str">
            <v>Formas de madeira peças de concreto armado.</v>
          </cell>
          <cell r="E128" t="str">
            <v>m2</v>
          </cell>
          <cell r="F128">
            <v>25.9</v>
          </cell>
          <cell r="G128">
            <v>2986</v>
          </cell>
        </row>
        <row r="129">
          <cell r="B129" t="str">
            <v>ET15100200</v>
          </cell>
          <cell r="C129">
            <v>124</v>
          </cell>
          <cell r="D129" t="str">
            <v>Formas de madeira.</v>
          </cell>
          <cell r="E129" t="str">
            <v>m2</v>
          </cell>
          <cell r="F129">
            <v>34.86</v>
          </cell>
          <cell r="G129">
            <v>4352</v>
          </cell>
        </row>
        <row r="130">
          <cell r="B130" t="str">
            <v>ET15100250</v>
          </cell>
          <cell r="C130">
            <v>125</v>
          </cell>
          <cell r="D130" t="str">
            <v>Formas de madeira.</v>
          </cell>
          <cell r="E130" t="str">
            <v>m2</v>
          </cell>
          <cell r="F130">
            <v>29.62</v>
          </cell>
          <cell r="G130">
            <v>4406</v>
          </cell>
        </row>
        <row r="131">
          <cell r="B131" t="str">
            <v>ET20300050</v>
          </cell>
          <cell r="C131">
            <v>126</v>
          </cell>
          <cell r="D131" t="str">
            <v>Escoramento de formas.</v>
          </cell>
          <cell r="E131" t="str">
            <v>m2</v>
          </cell>
          <cell r="F131">
            <v>11.18</v>
          </cell>
          <cell r="G131">
            <v>3090</v>
          </cell>
        </row>
        <row r="132">
          <cell r="B132" t="str">
            <v>ET10050100</v>
          </cell>
          <cell r="C132">
            <v>127</v>
          </cell>
          <cell r="D132" t="str">
            <v>Aço CA-50 diâmetro de 6,3mm.</v>
          </cell>
          <cell r="E132" t="str">
            <v>kg</v>
          </cell>
          <cell r="F132">
            <v>2.64</v>
          </cell>
          <cell r="G132">
            <v>4750</v>
          </cell>
        </row>
        <row r="133">
          <cell r="B133" t="str">
            <v>ET10050103</v>
          </cell>
          <cell r="C133">
            <v>128</v>
          </cell>
          <cell r="D133" t="str">
            <v>Aço CA-50 diâmetro de 8mm.</v>
          </cell>
          <cell r="E133" t="str">
            <v>kg</v>
          </cell>
          <cell r="F133">
            <v>2.46</v>
          </cell>
          <cell r="G133">
            <v>1250</v>
          </cell>
        </row>
        <row r="134">
          <cell r="B134" t="str">
            <v>ET10050106</v>
          </cell>
          <cell r="C134">
            <v>129</v>
          </cell>
          <cell r="D134" t="str">
            <v>Aço CA-50 diâmetro de 10mm.</v>
          </cell>
          <cell r="E134" t="str">
            <v>kg</v>
          </cell>
          <cell r="F134">
            <v>2.2000000000000002</v>
          </cell>
          <cell r="G134">
            <v>7950</v>
          </cell>
        </row>
        <row r="135">
          <cell r="B135" t="str">
            <v>ET10050109</v>
          </cell>
          <cell r="C135">
            <v>130</v>
          </cell>
          <cell r="D135" t="str">
            <v>Aço CA-50 diâmetro de 12,5mm.</v>
          </cell>
          <cell r="E135" t="str">
            <v>kg</v>
          </cell>
          <cell r="F135">
            <v>2.1800000000000002</v>
          </cell>
          <cell r="G135">
            <v>5400</v>
          </cell>
        </row>
        <row r="136">
          <cell r="B136" t="str">
            <v>ET10050112</v>
          </cell>
          <cell r="C136">
            <v>131</v>
          </cell>
          <cell r="D136" t="str">
            <v>Aço CA-50 diâmetro de 16mm.</v>
          </cell>
          <cell r="E136" t="str">
            <v>kg</v>
          </cell>
          <cell r="F136">
            <v>2.1800000000000002</v>
          </cell>
          <cell r="G136">
            <v>2700</v>
          </cell>
        </row>
        <row r="137">
          <cell r="B137" t="str">
            <v>ET10050118</v>
          </cell>
          <cell r="C137">
            <v>132</v>
          </cell>
          <cell r="D137" t="str">
            <v>Aço CA-50 diâmetro de 25mm.</v>
          </cell>
          <cell r="E137" t="str">
            <v>kg</v>
          </cell>
          <cell r="F137">
            <v>2.19</v>
          </cell>
          <cell r="G137">
            <v>1400</v>
          </cell>
        </row>
        <row r="138">
          <cell r="B138" t="str">
            <v>ET10100056</v>
          </cell>
          <cell r="C138">
            <v>133</v>
          </cell>
          <cell r="D138" t="str">
            <v>Corte, dobragem, montagem aço CA-50 ø 6,3mm.</v>
          </cell>
          <cell r="E138" t="str">
            <v>kg</v>
          </cell>
          <cell r="F138">
            <v>1.28</v>
          </cell>
          <cell r="G138">
            <v>4750</v>
          </cell>
        </row>
        <row r="139">
          <cell r="B139" t="str">
            <v>ET10100062</v>
          </cell>
          <cell r="C139">
            <v>134</v>
          </cell>
          <cell r="D139" t="str">
            <v>Corte, dobragem, montagem aço CA-50 ø 12,5mm.</v>
          </cell>
          <cell r="E139" t="str">
            <v>kg</v>
          </cell>
          <cell r="F139">
            <v>0.96</v>
          </cell>
          <cell r="G139">
            <v>9450</v>
          </cell>
        </row>
        <row r="140">
          <cell r="B140" t="str">
            <v>ET10100065</v>
          </cell>
          <cell r="C140">
            <v>135</v>
          </cell>
          <cell r="D140" t="str">
            <v>Corte, dobragem, montagem aço CA-50 ø 6,3 a 12,5mm.</v>
          </cell>
          <cell r="E140" t="str">
            <v>kg</v>
          </cell>
          <cell r="F140">
            <v>1.1100000000000001</v>
          </cell>
          <cell r="G140">
            <v>13950</v>
          </cell>
        </row>
        <row r="141">
          <cell r="B141" t="str">
            <v>ET05250653</v>
          </cell>
          <cell r="C141">
            <v>136</v>
          </cell>
          <cell r="D141" t="str">
            <v>Lançamento de concreto.</v>
          </cell>
          <cell r="E141" t="str">
            <v>m3</v>
          </cell>
          <cell r="F141">
            <v>22.57</v>
          </cell>
          <cell r="G141">
            <v>187</v>
          </cell>
        </row>
        <row r="142">
          <cell r="B142" t="str">
            <v>ET45100071</v>
          </cell>
          <cell r="C142">
            <v>137</v>
          </cell>
          <cell r="D142" t="str">
            <v>Concreto bombeado usinado fck=30MPa.</v>
          </cell>
          <cell r="E142" t="str">
            <v>m3</v>
          </cell>
          <cell r="F142">
            <v>297.16000000000003</v>
          </cell>
          <cell r="G142">
            <v>195</v>
          </cell>
        </row>
        <row r="143">
          <cell r="B143" t="str">
            <v>ET60050059</v>
          </cell>
          <cell r="C143">
            <v>138</v>
          </cell>
          <cell r="D143" t="str">
            <v>Concreto usinado de 18MPa.</v>
          </cell>
          <cell r="E143" t="str">
            <v>m3</v>
          </cell>
          <cell r="F143">
            <v>185.77</v>
          </cell>
          <cell r="G143">
            <v>187</v>
          </cell>
        </row>
        <row r="144">
          <cell r="B144" t="str">
            <v>ET25050300</v>
          </cell>
          <cell r="C144">
            <v>139</v>
          </cell>
          <cell r="D144" t="str">
            <v>Fornecimento e montagem de estruturas metálicas.</v>
          </cell>
          <cell r="E144" t="str">
            <v>t</v>
          </cell>
          <cell r="F144">
            <v>7186.39</v>
          </cell>
          <cell r="G144">
            <v>36</v>
          </cell>
        </row>
        <row r="145">
          <cell r="B145" t="str">
            <v>ET25050450</v>
          </cell>
          <cell r="C145">
            <v>140</v>
          </cell>
          <cell r="D145" t="str">
            <v>Peças em chapa de aço 3/8", galvanizadas.</v>
          </cell>
          <cell r="E145" t="str">
            <v>Kg</v>
          </cell>
          <cell r="F145">
            <v>3.99</v>
          </cell>
          <cell r="G145">
            <v>2166</v>
          </cell>
        </row>
        <row r="146">
          <cell r="B146" t="str">
            <v>ET25050453</v>
          </cell>
          <cell r="C146">
            <v>141</v>
          </cell>
          <cell r="D146" t="str">
            <v>Peças em chapa de aço 3/8", galvanizadas.</v>
          </cell>
          <cell r="E146" t="str">
            <v>Kg</v>
          </cell>
          <cell r="F146">
            <v>4.26</v>
          </cell>
          <cell r="G146">
            <v>2078</v>
          </cell>
        </row>
        <row r="147">
          <cell r="B147" t="str">
            <v>ET25050456</v>
          </cell>
          <cell r="C147">
            <v>142</v>
          </cell>
          <cell r="D147" t="str">
            <v>Peças em chapa de aço 3/8", galvanizadas.</v>
          </cell>
          <cell r="E147" t="str">
            <v>Kg</v>
          </cell>
          <cell r="F147">
            <v>4.16</v>
          </cell>
          <cell r="G147">
            <v>1820</v>
          </cell>
        </row>
        <row r="148">
          <cell r="B148" t="str">
            <v>ET50050250</v>
          </cell>
          <cell r="C148">
            <v>143</v>
          </cell>
          <cell r="D148" t="str">
            <v>Muro de contenção em solo reforçado.</v>
          </cell>
          <cell r="E148" t="str">
            <v>m2</v>
          </cell>
          <cell r="F148">
            <v>145.63</v>
          </cell>
          <cell r="G148">
            <v>144</v>
          </cell>
        </row>
        <row r="149">
          <cell r="B149" t="str">
            <v>ET55100100</v>
          </cell>
          <cell r="C149">
            <v>144</v>
          </cell>
          <cell r="D149" t="str">
            <v>Canal pré-fabricado, em concreto armado seção U.</v>
          </cell>
          <cell r="E149" t="str">
            <v>m2</v>
          </cell>
          <cell r="F149">
            <v>384.26</v>
          </cell>
          <cell r="G149">
            <v>86</v>
          </cell>
        </row>
        <row r="150">
          <cell r="B150" t="str">
            <v>ET55100150</v>
          </cell>
          <cell r="C150">
            <v>145</v>
          </cell>
          <cell r="D150" t="str">
            <v>Cobertura de canal pré-fabricado em concreto armado.</v>
          </cell>
          <cell r="E150" t="str">
            <v>m2</v>
          </cell>
          <cell r="F150">
            <v>435.06</v>
          </cell>
          <cell r="G150">
            <v>58</v>
          </cell>
        </row>
        <row r="151">
          <cell r="B151" t="str">
            <v>ES05250359</v>
          </cell>
          <cell r="C151">
            <v>146</v>
          </cell>
          <cell r="D151" t="str">
            <v>Gradil em tubo de ferro galvanizado de 1 1/4".</v>
          </cell>
          <cell r="E151" t="str">
            <v>m</v>
          </cell>
          <cell r="F151">
            <v>338.32</v>
          </cell>
          <cell r="G151">
            <v>144</v>
          </cell>
        </row>
        <row r="152">
          <cell r="B152" t="str">
            <v>ES10250150</v>
          </cell>
          <cell r="C152">
            <v>147</v>
          </cell>
          <cell r="D152" t="str">
            <v xml:space="preserve">Peça em Angelim ou similar, de 2"x1".Fornecimento. </v>
          </cell>
          <cell r="E152" t="str">
            <v>m</v>
          </cell>
          <cell r="F152">
            <v>2.14</v>
          </cell>
          <cell r="G152">
            <v>150</v>
          </cell>
        </row>
        <row r="153">
          <cell r="B153" t="str">
            <v>ES10250200</v>
          </cell>
          <cell r="C153">
            <v>148</v>
          </cell>
          <cell r="D153" t="str">
            <v xml:space="preserve">Peça em Ipê ou similar, de 2"x8".  Fornecimento.    </v>
          </cell>
          <cell r="E153" t="str">
            <v>m</v>
          </cell>
          <cell r="F153">
            <v>30.26</v>
          </cell>
          <cell r="G153">
            <v>200</v>
          </cell>
        </row>
        <row r="154">
          <cell r="B154" t="str">
            <v>ES10250262</v>
          </cell>
          <cell r="C154">
            <v>149</v>
          </cell>
          <cell r="D154" t="str">
            <v>Peça em Maçaranduba ou similar, serrada, de 3"x6".</v>
          </cell>
          <cell r="E154" t="str">
            <v>m</v>
          </cell>
          <cell r="F154">
            <v>8.66</v>
          </cell>
          <cell r="G154">
            <v>100</v>
          </cell>
        </row>
        <row r="155">
          <cell r="B155" t="str">
            <v>ES99990050</v>
          </cell>
          <cell r="C155">
            <v>150</v>
          </cell>
          <cell r="D155" t="str">
            <v>Arruela de 5/16", inclusive transporte até a obra.</v>
          </cell>
          <cell r="E155" t="str">
            <v>un</v>
          </cell>
          <cell r="F155">
            <v>0.02</v>
          </cell>
          <cell r="G155">
            <v>863</v>
          </cell>
        </row>
        <row r="156">
          <cell r="B156" t="str">
            <v>ES99990700</v>
          </cell>
          <cell r="C156">
            <v>151</v>
          </cell>
          <cell r="D156" t="str">
            <v>Parafuso de (8x250)mm.</v>
          </cell>
          <cell r="E156" t="str">
            <v>un</v>
          </cell>
          <cell r="F156">
            <v>0.78</v>
          </cell>
          <cell r="G156">
            <v>863</v>
          </cell>
        </row>
        <row r="157">
          <cell r="B157" t="str">
            <v>ES99990800</v>
          </cell>
          <cell r="C157">
            <v>152</v>
          </cell>
          <cell r="D157" t="str">
            <v>Porca de 5/16", inclusive transporte até a obra.</v>
          </cell>
          <cell r="E157" t="str">
            <v>un</v>
          </cell>
          <cell r="F157">
            <v>0.04</v>
          </cell>
          <cell r="G157">
            <v>863</v>
          </cell>
        </row>
        <row r="158">
          <cell r="B158" t="str">
            <v>ES99990900</v>
          </cell>
          <cell r="C158">
            <v>153</v>
          </cell>
          <cell r="D158" t="str">
            <v>Prego com cabeça chata 23x54, em caixa de 100Kg.</v>
          </cell>
          <cell r="E158" t="str">
            <v>Kg</v>
          </cell>
          <cell r="F158">
            <v>3.01</v>
          </cell>
          <cell r="G158">
            <v>332</v>
          </cell>
        </row>
        <row r="159">
          <cell r="B159" t="str">
            <v>IT25100112</v>
          </cell>
          <cell r="C159">
            <v>154</v>
          </cell>
          <cell r="D159" t="str">
            <v>Kanalex diâmetro de 50mm (2" ).</v>
          </cell>
          <cell r="E159" t="str">
            <v>m</v>
          </cell>
          <cell r="F159">
            <v>4.55</v>
          </cell>
          <cell r="G159">
            <v>356</v>
          </cell>
        </row>
        <row r="160">
          <cell r="B160" t="str">
            <v>IT25100115</v>
          </cell>
          <cell r="C160">
            <v>155</v>
          </cell>
          <cell r="D160" t="str">
            <v>Kanalex diâmetro de 75mm (3" ).</v>
          </cell>
          <cell r="E160" t="str">
            <v>m</v>
          </cell>
          <cell r="F160">
            <v>5.98</v>
          </cell>
          <cell r="G160">
            <v>1766</v>
          </cell>
        </row>
        <row r="161">
          <cell r="B161" t="str">
            <v>IT25100118</v>
          </cell>
          <cell r="C161">
            <v>156</v>
          </cell>
          <cell r="D161" t="str">
            <v>Kanalex diâmetro de 100mm (4" ).</v>
          </cell>
          <cell r="E161" t="str">
            <v>m</v>
          </cell>
          <cell r="F161">
            <v>7.02</v>
          </cell>
          <cell r="G161">
            <v>2554</v>
          </cell>
        </row>
        <row r="162">
          <cell r="B162" t="str">
            <v>IT25100159</v>
          </cell>
          <cell r="C162">
            <v>157</v>
          </cell>
          <cell r="D162" t="str">
            <v>Linha dupla de Kanalex diâmetro de 75mm (3" ).</v>
          </cell>
          <cell r="E162" t="str">
            <v>m</v>
          </cell>
          <cell r="F162">
            <v>10.52</v>
          </cell>
          <cell r="G162">
            <v>3705</v>
          </cell>
        </row>
        <row r="163">
          <cell r="B163" t="str">
            <v>IT25100162</v>
          </cell>
          <cell r="C163">
            <v>158</v>
          </cell>
          <cell r="D163" t="str">
            <v>Linha dupla de Kanalex diâmetro de 100mm (4" ).</v>
          </cell>
          <cell r="E163" t="str">
            <v>m</v>
          </cell>
          <cell r="F163">
            <v>21.87</v>
          </cell>
          <cell r="G163">
            <v>6000</v>
          </cell>
        </row>
        <row r="164">
          <cell r="B164" t="str">
            <v xml:space="preserve"> IT25100165</v>
          </cell>
          <cell r="C164">
            <v>159</v>
          </cell>
          <cell r="D164" t="str">
            <v>Linha dupla de Kanalex diâmetro de 125mm (5" ).</v>
          </cell>
          <cell r="E164" t="str">
            <v>m</v>
          </cell>
          <cell r="F164">
            <v>29.6</v>
          </cell>
          <cell r="G164">
            <v>4000</v>
          </cell>
        </row>
        <row r="165">
          <cell r="B165" t="str">
            <v xml:space="preserve"> IT25340321</v>
          </cell>
          <cell r="C165">
            <v>160</v>
          </cell>
          <cell r="D165" t="str">
            <v>Cabo de cobre rígido, seção de 35mm2 XLPE.</v>
          </cell>
          <cell r="E165" t="str">
            <v>m</v>
          </cell>
          <cell r="F165">
            <v>11.38</v>
          </cell>
          <cell r="G165">
            <v>2842</v>
          </cell>
        </row>
        <row r="166">
          <cell r="B166" t="str">
            <v>IT25700100</v>
          </cell>
          <cell r="C166">
            <v>161</v>
          </cell>
          <cell r="D166" t="str">
            <v>Haste para aterramento, de cobre, de 5/8", com 3m.</v>
          </cell>
          <cell r="E166" t="str">
            <v xml:space="preserve"> un</v>
          </cell>
          <cell r="F166">
            <v>60.94</v>
          </cell>
          <cell r="G166">
            <v>29</v>
          </cell>
        </row>
        <row r="167">
          <cell r="B167" t="str">
            <v>IT25990100</v>
          </cell>
          <cell r="C167">
            <v>162</v>
          </cell>
          <cell r="D167" t="str">
            <v>Base de ferro retangular, para caixa subterrânea.</v>
          </cell>
          <cell r="E167" t="str">
            <v xml:space="preserve"> un</v>
          </cell>
          <cell r="F167">
            <v>117.72</v>
          </cell>
          <cell r="G167">
            <v>55</v>
          </cell>
        </row>
        <row r="168">
          <cell r="B168" t="str">
            <v>IT25990103</v>
          </cell>
          <cell r="C168">
            <v>163</v>
          </cell>
          <cell r="D168" t="str">
            <v>Tampa de ferro retangular, medindo (1,07x0,52)m.</v>
          </cell>
          <cell r="E168" t="str">
            <v xml:space="preserve"> un</v>
          </cell>
          <cell r="F168">
            <v>231.13</v>
          </cell>
          <cell r="G168">
            <v>55</v>
          </cell>
        </row>
        <row r="169">
          <cell r="B169" t="str">
            <v>RV15200409</v>
          </cell>
          <cell r="C169">
            <v>164</v>
          </cell>
          <cell r="D169" t="str">
            <v>Revestimento com granito Cinza flameado.</v>
          </cell>
          <cell r="E169" t="str">
            <v>m2</v>
          </cell>
          <cell r="F169">
            <v>82.41</v>
          </cell>
          <cell r="G169">
            <v>152</v>
          </cell>
        </row>
        <row r="170">
          <cell r="B170" t="str">
            <v>RV15250103</v>
          </cell>
          <cell r="C170">
            <v>165</v>
          </cell>
          <cell r="D170" t="str">
            <v>Piso de concreto simples,8cm de espessura.</v>
          </cell>
          <cell r="E170" t="str">
            <v>m2</v>
          </cell>
          <cell r="F170">
            <v>24.65</v>
          </cell>
          <cell r="G170">
            <v>1095</v>
          </cell>
        </row>
        <row r="171">
          <cell r="B171" t="str">
            <v>CI05750050</v>
          </cell>
          <cell r="C171">
            <v>166</v>
          </cell>
          <cell r="D171" t="str">
            <v>Cabine para quiosque em Fiber-Glass.</v>
          </cell>
          <cell r="E171" t="str">
            <v xml:space="preserve"> un   </v>
          </cell>
          <cell r="F171">
            <v>12250.73</v>
          </cell>
          <cell r="G171">
            <v>6</v>
          </cell>
        </row>
        <row r="172">
          <cell r="B172" t="str">
            <v>PT05300250</v>
          </cell>
          <cell r="C172">
            <v>167</v>
          </cell>
          <cell r="D172" t="str">
            <v>Pintura sobre concreto com uma demão de Primer.</v>
          </cell>
          <cell r="E172" t="str">
            <v>m2</v>
          </cell>
          <cell r="F172">
            <v>9.09</v>
          </cell>
          <cell r="G172">
            <v>542</v>
          </cell>
        </row>
        <row r="173">
          <cell r="B173" t="str">
            <v>PT05400106</v>
          </cell>
          <cell r="C173">
            <v>168</v>
          </cell>
          <cell r="D173" t="str">
            <v>Pintura interna ou externa sobre ferro, com esmalte.</v>
          </cell>
          <cell r="E173" t="str">
            <v>m2</v>
          </cell>
          <cell r="F173">
            <v>7.86</v>
          </cell>
          <cell r="G173">
            <v>1262</v>
          </cell>
        </row>
        <row r="174">
          <cell r="B174" t="str">
            <v>DR05200050</v>
          </cell>
          <cell r="C174">
            <v>169</v>
          </cell>
          <cell r="D174" t="str">
            <v>Tubo de concreto armado com diametro de 0,40m.</v>
          </cell>
          <cell r="E174" t="str">
            <v>m</v>
          </cell>
          <cell r="F174">
            <v>43.02</v>
          </cell>
          <cell r="G174">
            <v>768</v>
          </cell>
        </row>
        <row r="175">
          <cell r="B175" t="str">
            <v>DR05200100</v>
          </cell>
          <cell r="C175">
            <v>170</v>
          </cell>
          <cell r="D175" t="str">
            <v>Tubo de concreto armado com diâmetro de 0,50m.</v>
          </cell>
          <cell r="E175" t="str">
            <v>m</v>
          </cell>
          <cell r="F175">
            <v>62.61</v>
          </cell>
          <cell r="G175">
            <v>290</v>
          </cell>
        </row>
        <row r="176">
          <cell r="B176" t="str">
            <v>DR05200150</v>
          </cell>
          <cell r="C176">
            <v>171</v>
          </cell>
          <cell r="D176" t="str">
            <v>Tubo de concreto armado com diâmetro de 0,60m.</v>
          </cell>
          <cell r="E176" t="str">
            <v>m</v>
          </cell>
          <cell r="F176">
            <v>71.53</v>
          </cell>
          <cell r="G176">
            <v>54</v>
          </cell>
        </row>
        <row r="177">
          <cell r="B177" t="str">
            <v>DR05200200</v>
          </cell>
          <cell r="C177">
            <v>172</v>
          </cell>
          <cell r="D177" t="str">
            <v>Tubo de concreto armado com diâmetro de 0,70m.</v>
          </cell>
          <cell r="E177" t="str">
            <v>m</v>
          </cell>
          <cell r="F177">
            <v>106.59</v>
          </cell>
          <cell r="G177">
            <v>264</v>
          </cell>
        </row>
        <row r="178">
          <cell r="B178" t="str">
            <v>DR05200250</v>
          </cell>
          <cell r="C178">
            <v>173</v>
          </cell>
          <cell r="D178" t="str">
            <v>Tubo de concreto armado com diâmetro de 0,80m.</v>
          </cell>
          <cell r="E178" t="str">
            <v>m</v>
          </cell>
          <cell r="F178">
            <v>113.63</v>
          </cell>
          <cell r="G178">
            <v>38</v>
          </cell>
        </row>
        <row r="179">
          <cell r="B179" t="str">
            <v>DR05200350</v>
          </cell>
          <cell r="C179">
            <v>174</v>
          </cell>
          <cell r="D179" t="str">
            <v>Tubo de concreto armado com diametro de 1m.</v>
          </cell>
          <cell r="E179" t="str">
            <v>m</v>
          </cell>
          <cell r="F179">
            <v>189.28</v>
          </cell>
          <cell r="G179">
            <v>320</v>
          </cell>
        </row>
        <row r="180">
          <cell r="B180" t="str">
            <v>DR05200500</v>
          </cell>
          <cell r="C180">
            <v>175</v>
          </cell>
          <cell r="D180" t="str">
            <v>Tubo de concreto armado com diâmetro de 1,50m.</v>
          </cell>
          <cell r="E180" t="str">
            <v>m</v>
          </cell>
          <cell r="F180">
            <v>400.58</v>
          </cell>
          <cell r="G180">
            <v>214</v>
          </cell>
        </row>
        <row r="181">
          <cell r="B181" t="str">
            <v>DR05400100</v>
          </cell>
          <cell r="C181">
            <v>176</v>
          </cell>
          <cell r="D181" t="str">
            <v>Tubo de PVC rígido Vinilfort, diâmetro de 150mm.</v>
          </cell>
          <cell r="E181" t="str">
            <v>m</v>
          </cell>
          <cell r="F181">
            <v>19.47</v>
          </cell>
          <cell r="G181">
            <v>1643</v>
          </cell>
        </row>
        <row r="182">
          <cell r="B182" t="str">
            <v>DR05400150</v>
          </cell>
          <cell r="C182">
            <v>177</v>
          </cell>
          <cell r="D182" t="str">
            <v>Tubo de PVC rígido Vinilfort, diâmetro de 200mm.</v>
          </cell>
          <cell r="E182" t="str">
            <v>m</v>
          </cell>
          <cell r="F182">
            <v>27.22</v>
          </cell>
          <cell r="G182">
            <v>263</v>
          </cell>
        </row>
        <row r="183">
          <cell r="B183" t="str">
            <v>DR10050065</v>
          </cell>
          <cell r="C183">
            <v>178</v>
          </cell>
          <cell r="D183" t="str">
            <v>Tubo de ferro fundido K-9, diâmetro de 300mm.</v>
          </cell>
          <cell r="E183" t="str">
            <v>m</v>
          </cell>
          <cell r="F183">
            <v>370.29</v>
          </cell>
          <cell r="G183">
            <v>200</v>
          </cell>
        </row>
        <row r="184">
          <cell r="B184" t="str">
            <v>DR20100050</v>
          </cell>
          <cell r="C184">
            <v>179</v>
          </cell>
          <cell r="D184" t="str">
            <v>Poço de visita de (1,20x1,20x1,40)m ø 0,40 a 0,70m.</v>
          </cell>
          <cell r="E184" t="str">
            <v xml:space="preserve"> un</v>
          </cell>
          <cell r="F184">
            <v>704.13</v>
          </cell>
          <cell r="G184">
            <v>22</v>
          </cell>
        </row>
        <row r="185">
          <cell r="B185" t="str">
            <v>DR20100053</v>
          </cell>
          <cell r="C185">
            <v>180</v>
          </cell>
          <cell r="D185" t="str">
            <v>Poço de visita de (1,30 x1,30 x1,40)m ø de 0,80 m.</v>
          </cell>
          <cell r="E185" t="str">
            <v xml:space="preserve"> un</v>
          </cell>
          <cell r="F185">
            <v>750.69</v>
          </cell>
          <cell r="G185">
            <v>2</v>
          </cell>
        </row>
        <row r="186">
          <cell r="B186" t="str">
            <v>DR20100059</v>
          </cell>
          <cell r="C186">
            <v>181</v>
          </cell>
          <cell r="D186" t="str">
            <v>Poço de visita de (1.50x1.50x1.60)m ø1,00 m.</v>
          </cell>
          <cell r="E186" t="str">
            <v xml:space="preserve"> un</v>
          </cell>
          <cell r="F186">
            <v>948.69</v>
          </cell>
          <cell r="G186">
            <v>11</v>
          </cell>
        </row>
        <row r="187">
          <cell r="B187" t="str">
            <v>DR20100068</v>
          </cell>
          <cell r="C187">
            <v>182</v>
          </cell>
          <cell r="D187" t="str">
            <v>Poço de vista de ( 2x 2x2,10)m ø1,50m.</v>
          </cell>
          <cell r="E187" t="str">
            <v xml:space="preserve"> un</v>
          </cell>
          <cell r="F187">
            <v>1525.88</v>
          </cell>
          <cell r="G187">
            <v>7</v>
          </cell>
        </row>
        <row r="188">
          <cell r="B188" t="str">
            <v>DR20150053</v>
          </cell>
          <cell r="C188">
            <v>183</v>
          </cell>
          <cell r="D188" t="str">
            <v>Poço de visita para esgoto sanitário de 1m .</v>
          </cell>
          <cell r="E188" t="str">
            <v xml:space="preserve"> un</v>
          </cell>
          <cell r="F188">
            <v>129.63</v>
          </cell>
          <cell r="G188">
            <v>2</v>
          </cell>
        </row>
        <row r="189">
          <cell r="B189" t="str">
            <v>DR20150056</v>
          </cell>
          <cell r="C189">
            <v>184</v>
          </cell>
          <cell r="D189" t="str">
            <v xml:space="preserve">Poço de visita para esgoto sanitário de 1,05m.                      </v>
          </cell>
          <cell r="E189" t="str">
            <v xml:space="preserve"> un</v>
          </cell>
          <cell r="F189">
            <v>303.89</v>
          </cell>
          <cell r="G189">
            <v>1</v>
          </cell>
        </row>
        <row r="190">
          <cell r="B190" t="str">
            <v>DR20150059</v>
          </cell>
          <cell r="C190">
            <v>185</v>
          </cell>
          <cell r="D190" t="str">
            <v xml:space="preserve">Poço de visita para esgoto sanitário de 1,20m.  </v>
          </cell>
          <cell r="E190" t="str">
            <v xml:space="preserve"> un</v>
          </cell>
          <cell r="F190">
            <v>337.88</v>
          </cell>
          <cell r="G190">
            <v>15</v>
          </cell>
        </row>
        <row r="191">
          <cell r="B191" t="str">
            <v>DR20150062</v>
          </cell>
          <cell r="C191">
            <v>186</v>
          </cell>
          <cell r="D191" t="str">
            <v xml:space="preserve">Poço de visita de esgoto sanitário de 1,40m.      </v>
          </cell>
          <cell r="E191" t="str">
            <v xml:space="preserve"> un</v>
          </cell>
          <cell r="F191">
            <v>387.67</v>
          </cell>
          <cell r="G191">
            <v>5</v>
          </cell>
        </row>
        <row r="192">
          <cell r="B192" t="str">
            <v>DR20150065</v>
          </cell>
          <cell r="C192">
            <v>187</v>
          </cell>
          <cell r="D192" t="str">
            <v xml:space="preserve">Poço de visita de esgoto sanitário de 1,50m.  </v>
          </cell>
          <cell r="E192" t="str">
            <v xml:space="preserve"> un</v>
          </cell>
          <cell r="F192">
            <v>412.76</v>
          </cell>
          <cell r="G192">
            <v>7</v>
          </cell>
        </row>
        <row r="193">
          <cell r="B193" t="str">
            <v>DR20150068</v>
          </cell>
          <cell r="C193">
            <v>188</v>
          </cell>
          <cell r="D193" t="str">
            <v xml:space="preserve">Poço de visita de esgoto sanitário de 1,60m.          </v>
          </cell>
          <cell r="E193" t="str">
            <v xml:space="preserve"> un</v>
          </cell>
          <cell r="F193">
            <v>416.03</v>
          </cell>
          <cell r="G193">
            <v>4</v>
          </cell>
        </row>
        <row r="194">
          <cell r="B194" t="str">
            <v>DR20150071</v>
          </cell>
          <cell r="C194">
            <v>189</v>
          </cell>
          <cell r="D194" t="str">
            <v xml:space="preserve">Poço de visita de esgoto sanitário de 1,70m.   </v>
          </cell>
          <cell r="E194" t="str">
            <v xml:space="preserve"> un</v>
          </cell>
          <cell r="F194">
            <v>450.56</v>
          </cell>
          <cell r="G194">
            <v>2</v>
          </cell>
        </row>
        <row r="195">
          <cell r="B195" t="str">
            <v>DR20150074</v>
          </cell>
          <cell r="C195">
            <v>190</v>
          </cell>
          <cell r="D195" t="str">
            <v xml:space="preserve">Poço de visita de esgoto sanitário de 2m.       </v>
          </cell>
          <cell r="E195" t="str">
            <v xml:space="preserve"> un</v>
          </cell>
          <cell r="F195">
            <v>479.14</v>
          </cell>
          <cell r="G195">
            <v>12</v>
          </cell>
        </row>
        <row r="196">
          <cell r="B196" t="str">
            <v>DR20150077</v>
          </cell>
          <cell r="C196">
            <v>191</v>
          </cell>
          <cell r="D196" t="str">
            <v xml:space="preserve">Poço de visita de esgoto sanitário de 2,30m.        </v>
          </cell>
          <cell r="E196" t="str">
            <v xml:space="preserve"> un</v>
          </cell>
          <cell r="F196">
            <v>518.35</v>
          </cell>
          <cell r="G196">
            <v>2</v>
          </cell>
        </row>
        <row r="197">
          <cell r="B197" t="str">
            <v>DR30150103</v>
          </cell>
          <cell r="C197">
            <v>192</v>
          </cell>
          <cell r="D197" t="str">
            <v>Caixa de ralo de blocos de concreto prensado.</v>
          </cell>
          <cell r="E197" t="str">
            <v xml:space="preserve"> un</v>
          </cell>
          <cell r="F197">
            <v>541.29999999999995</v>
          </cell>
          <cell r="G197">
            <v>135</v>
          </cell>
        </row>
        <row r="198">
          <cell r="B198" t="str">
            <v>DR05300100</v>
          </cell>
          <cell r="C198">
            <v>193</v>
          </cell>
          <cell r="D198" t="str">
            <v>Manilha cerâmica vidrada, com diâmetro 0,15m.</v>
          </cell>
          <cell r="E198" t="str">
            <v>m</v>
          </cell>
          <cell r="F198">
            <v>16.14</v>
          </cell>
          <cell r="G198">
            <v>1240</v>
          </cell>
        </row>
        <row r="199">
          <cell r="B199" t="str">
            <v>DR35050250</v>
          </cell>
          <cell r="C199">
            <v>194</v>
          </cell>
          <cell r="D199" t="str">
            <v>Tampão de ferro fundido completo pesado, de 0,60m.</v>
          </cell>
          <cell r="E199" t="str">
            <v xml:space="preserve"> un</v>
          </cell>
          <cell r="F199">
            <v>209.66</v>
          </cell>
          <cell r="G199">
            <v>140</v>
          </cell>
        </row>
        <row r="200">
          <cell r="B200" t="str">
            <v>DR35050300</v>
          </cell>
          <cell r="C200">
            <v>195</v>
          </cell>
          <cell r="D200" t="str">
            <v>Tampão de ferro fundido completo, de 3 seções.</v>
          </cell>
          <cell r="E200" t="str">
            <v xml:space="preserve"> un</v>
          </cell>
          <cell r="F200">
            <v>1659.65</v>
          </cell>
          <cell r="G200">
            <v>9</v>
          </cell>
        </row>
        <row r="201">
          <cell r="B201" t="str">
            <v>DR55050450</v>
          </cell>
          <cell r="C201">
            <v>196</v>
          </cell>
          <cell r="D201" t="str">
            <v>Embasamento de tubulação, feito com pó-de-pedra.</v>
          </cell>
          <cell r="E201" t="str">
            <v>m3</v>
          </cell>
          <cell r="F201">
            <v>47.35</v>
          </cell>
          <cell r="G201">
            <v>200</v>
          </cell>
        </row>
        <row r="202">
          <cell r="B202" t="str">
            <v>DR75050077</v>
          </cell>
          <cell r="C202">
            <v>197</v>
          </cell>
          <cell r="D202" t="str">
            <v>Levantamento limpeza reassentamento tubos ø1,50m.</v>
          </cell>
          <cell r="E202" t="str">
            <v>m</v>
          </cell>
          <cell r="F202">
            <v>137.80000000000001</v>
          </cell>
          <cell r="G202">
            <v>576</v>
          </cell>
        </row>
        <row r="203">
          <cell r="B203" t="str">
            <v>BP05050050</v>
          </cell>
          <cell r="C203">
            <v>198</v>
          </cell>
          <cell r="D203" t="str">
            <v>Base de brita corrida.</v>
          </cell>
          <cell r="E203" t="str">
            <v>m3</v>
          </cell>
          <cell r="F203">
            <v>35.47</v>
          </cell>
          <cell r="G203">
            <v>7200</v>
          </cell>
        </row>
        <row r="204">
          <cell r="B204" t="str">
            <v>BP05050400A</v>
          </cell>
          <cell r="C204">
            <v>199</v>
          </cell>
          <cell r="D204" t="str">
            <v>Imprimação de base de pavimentação.</v>
          </cell>
          <cell r="E204" t="str">
            <v>m2</v>
          </cell>
          <cell r="F204">
            <v>2.04</v>
          </cell>
          <cell r="G204">
            <v>23998</v>
          </cell>
        </row>
        <row r="205">
          <cell r="B205" t="str">
            <v>BP05050100</v>
          </cell>
          <cell r="C205">
            <v>200</v>
          </cell>
          <cell r="D205" t="str">
            <v>Camada de bloqueio (colchão) de areia.</v>
          </cell>
          <cell r="E205" t="str">
            <v>m3</v>
          </cell>
          <cell r="F205">
            <v>29.11</v>
          </cell>
          <cell r="G205">
            <v>7200</v>
          </cell>
        </row>
        <row r="206">
          <cell r="B206" t="str">
            <v>BP05050103</v>
          </cell>
          <cell r="C206">
            <v>201</v>
          </cell>
          <cell r="D206" t="str">
            <v>Camada de bloqueio (colchão) de pó-de-pedra.</v>
          </cell>
          <cell r="E206" t="str">
            <v>m3</v>
          </cell>
          <cell r="F206">
            <v>31.41</v>
          </cell>
          <cell r="G206">
            <v>6000</v>
          </cell>
        </row>
        <row r="207">
          <cell r="B207" t="str">
            <v>BP10050659</v>
          </cell>
          <cell r="C207">
            <v>202</v>
          </cell>
          <cell r="D207" t="str">
            <v>Revestimento de CBUQ, com  10cm de espessura.</v>
          </cell>
          <cell r="E207" t="str">
            <v>m2</v>
          </cell>
          <cell r="F207">
            <v>24.98</v>
          </cell>
          <cell r="G207">
            <v>23998</v>
          </cell>
        </row>
        <row r="208">
          <cell r="B208" t="str">
            <v>BP10200368</v>
          </cell>
          <cell r="C208">
            <v>203</v>
          </cell>
          <cell r="D208" t="str">
            <v>Revestimento intertravado com peças de concreto.</v>
          </cell>
          <cell r="E208" t="str">
            <v>m2</v>
          </cell>
          <cell r="F208">
            <v>54.88</v>
          </cell>
          <cell r="G208">
            <v>18820</v>
          </cell>
        </row>
        <row r="209">
          <cell r="B209" t="str">
            <v>BP10250050</v>
          </cell>
          <cell r="C209">
            <v>204</v>
          </cell>
          <cell r="D209" t="str">
            <v>Paralelepípedos.Fornecimento.</v>
          </cell>
          <cell r="E209" t="str">
            <v xml:space="preserve"> un</v>
          </cell>
          <cell r="F209">
            <v>0.45</v>
          </cell>
          <cell r="G209">
            <v>2877</v>
          </cell>
        </row>
        <row r="210">
          <cell r="B210" t="str">
            <v>BP05050450</v>
          </cell>
          <cell r="C210">
            <v>205</v>
          </cell>
          <cell r="D210" t="str">
            <v>Regularização de subleito.</v>
          </cell>
          <cell r="E210" t="str">
            <v>m2</v>
          </cell>
          <cell r="F210">
            <v>0.41</v>
          </cell>
          <cell r="G210">
            <v>23998</v>
          </cell>
        </row>
        <row r="211">
          <cell r="B211" t="str">
            <v>BP20100053</v>
          </cell>
          <cell r="C211">
            <v>206</v>
          </cell>
          <cell r="D211" t="str">
            <v>Cordões de concreto simples, secção de (10x25)cm.</v>
          </cell>
          <cell r="E211" t="str">
            <v>m</v>
          </cell>
          <cell r="F211">
            <v>15.98</v>
          </cell>
          <cell r="G211">
            <v>864</v>
          </cell>
        </row>
        <row r="212">
          <cell r="B212" t="str">
            <v>BP05050250</v>
          </cell>
          <cell r="C212">
            <v>207</v>
          </cell>
          <cell r="D212" t="str">
            <v>Construção de aterro.</v>
          </cell>
          <cell r="E212" t="str">
            <v>m3</v>
          </cell>
          <cell r="F212">
            <v>1.1299999999999999</v>
          </cell>
          <cell r="G212">
            <v>5000</v>
          </cell>
        </row>
        <row r="213">
          <cell r="B213" t="str">
            <v>BP10050400A</v>
          </cell>
          <cell r="C213">
            <v>208</v>
          </cell>
          <cell r="D213" t="str">
            <v>Pintura de ligação.</v>
          </cell>
          <cell r="E213" t="str">
            <v>m2</v>
          </cell>
          <cell r="F213">
            <v>1.23</v>
          </cell>
          <cell r="G213">
            <v>23998</v>
          </cell>
        </row>
        <row r="214">
          <cell r="B214" t="str">
            <v>BP10050500</v>
          </cell>
          <cell r="C214">
            <v>209</v>
          </cell>
          <cell r="D214" t="str">
            <v>Recomposição de revestimento em concreto asfáltico.</v>
          </cell>
          <cell r="E214" t="str">
            <v>m2</v>
          </cell>
          <cell r="F214">
            <v>2.13</v>
          </cell>
          <cell r="G214">
            <v>2000</v>
          </cell>
        </row>
        <row r="215">
          <cell r="B215" t="str">
            <v>BP10150050</v>
          </cell>
          <cell r="C215">
            <v>210</v>
          </cell>
          <cell r="D215" t="str">
            <v>Junta de retração, serrada com disco de diamantes.</v>
          </cell>
          <cell r="E215" t="str">
            <v>m</v>
          </cell>
          <cell r="F215">
            <v>7.5</v>
          </cell>
          <cell r="G215">
            <v>415</v>
          </cell>
        </row>
        <row r="216">
          <cell r="B216" t="str">
            <v>BP10250050</v>
          </cell>
          <cell r="C216">
            <v>211</v>
          </cell>
          <cell r="D216" t="str">
            <v xml:space="preserve">Paralelepípedos.Fornecimento. </v>
          </cell>
          <cell r="E216" t="str">
            <v xml:space="preserve"> un</v>
          </cell>
          <cell r="F216">
            <v>0.45</v>
          </cell>
          <cell r="G216">
            <v>2877</v>
          </cell>
        </row>
        <row r="217">
          <cell r="B217" t="str">
            <v>BP15050050</v>
          </cell>
          <cell r="C217">
            <v>212</v>
          </cell>
          <cell r="D217" t="str">
            <v>Fresagem espessura de até 5cm.</v>
          </cell>
          <cell r="E217" t="str">
            <v>m2</v>
          </cell>
          <cell r="F217">
            <v>1.34</v>
          </cell>
          <cell r="G217">
            <v>16799</v>
          </cell>
        </row>
        <row r="218">
          <cell r="B218" t="str">
            <v>BP20150056</v>
          </cell>
          <cell r="C218">
            <v>213</v>
          </cell>
          <cell r="D218" t="str">
            <v>Sarjeta e meio-fio conjugados, de concreto simples.</v>
          </cell>
          <cell r="E218" t="str">
            <v>m</v>
          </cell>
          <cell r="F218">
            <v>44.43</v>
          </cell>
          <cell r="G218">
            <v>4315</v>
          </cell>
        </row>
        <row r="219">
          <cell r="B219" t="str">
            <v>PJ05100150</v>
          </cell>
          <cell r="C219">
            <v>214</v>
          </cell>
          <cell r="D219" t="str">
            <v>Plantio de grama em placas.</v>
          </cell>
          <cell r="E219" t="str">
            <v>m2</v>
          </cell>
          <cell r="F219">
            <v>6.48</v>
          </cell>
          <cell r="G219">
            <v>2213</v>
          </cell>
        </row>
        <row r="220">
          <cell r="B220" t="str">
            <v>PJ10050200</v>
          </cell>
          <cell r="C220">
            <v>215</v>
          </cell>
          <cell r="D220" t="str">
            <v>Plantio de árvore de 2m de altura.</v>
          </cell>
          <cell r="E220" t="str">
            <v xml:space="preserve"> un</v>
          </cell>
          <cell r="F220">
            <v>14.95</v>
          </cell>
          <cell r="G220">
            <v>283</v>
          </cell>
        </row>
        <row r="221">
          <cell r="B221" t="str">
            <v>PJ10150050</v>
          </cell>
          <cell r="C221">
            <v>216</v>
          </cell>
          <cell r="D221" t="str">
            <v>Árvores tipo 1 - Pseudobombax Ellipticum.</v>
          </cell>
          <cell r="E221" t="str">
            <v xml:space="preserve"> un</v>
          </cell>
          <cell r="F221">
            <v>12.9</v>
          </cell>
          <cell r="G221">
            <v>283</v>
          </cell>
        </row>
        <row r="222">
          <cell r="B222" t="str">
            <v>PJ10250056</v>
          </cell>
          <cell r="C222">
            <v>217</v>
          </cell>
          <cell r="D222" t="str">
            <v>Palmeira tipo 3 - Roystonea Oleracea.</v>
          </cell>
          <cell r="E222" t="str">
            <v xml:space="preserve"> un</v>
          </cell>
          <cell r="F222">
            <v>250</v>
          </cell>
          <cell r="G222">
            <v>20</v>
          </cell>
        </row>
        <row r="223">
          <cell r="B223" t="str">
            <v>PJ20100050</v>
          </cell>
          <cell r="C223">
            <v>218</v>
          </cell>
          <cell r="D223" t="str">
            <v>Arrancamento e replantio de árvore adulta.</v>
          </cell>
          <cell r="E223" t="str">
            <v xml:space="preserve"> un</v>
          </cell>
          <cell r="F223">
            <v>46.5</v>
          </cell>
          <cell r="G223">
            <v>32</v>
          </cell>
        </row>
        <row r="224">
          <cell r="B224" t="str">
            <v>PJ20100306</v>
          </cell>
          <cell r="C224">
            <v>219</v>
          </cell>
          <cell r="D224" t="str">
            <v>Remoção de árvore de grande porte.</v>
          </cell>
          <cell r="E224" t="str">
            <v xml:space="preserve"> un</v>
          </cell>
          <cell r="F224">
            <v>886.31</v>
          </cell>
          <cell r="G224">
            <v>10</v>
          </cell>
        </row>
        <row r="225">
          <cell r="B225" t="str">
            <v>PJ40100356</v>
          </cell>
          <cell r="C225">
            <v>220</v>
          </cell>
          <cell r="D225" t="str">
            <v>Tratamento fitossanitário em árvores.</v>
          </cell>
          <cell r="E225" t="str">
            <v xml:space="preserve"> un</v>
          </cell>
          <cell r="F225">
            <v>663.93</v>
          </cell>
          <cell r="G225">
            <v>100</v>
          </cell>
        </row>
        <row r="226">
          <cell r="B226" t="str">
            <v>PJ15050053</v>
          </cell>
          <cell r="C226">
            <v>221</v>
          </cell>
          <cell r="D226" t="str">
            <v>Cerca protetora para jardim.</v>
          </cell>
          <cell r="E226" t="str">
            <v>m2</v>
          </cell>
          <cell r="F226">
            <v>57.16</v>
          </cell>
          <cell r="G226">
            <v>200</v>
          </cell>
        </row>
        <row r="227">
          <cell r="B227" t="str">
            <v>PJ25050100</v>
          </cell>
          <cell r="C227">
            <v>222</v>
          </cell>
          <cell r="D227" t="str">
            <v>Banco para jardim, duplo, pés em ferro fundido.</v>
          </cell>
          <cell r="E227" t="str">
            <v xml:space="preserve"> un</v>
          </cell>
          <cell r="F227">
            <v>904.96</v>
          </cell>
          <cell r="G227">
            <v>36</v>
          </cell>
        </row>
        <row r="228">
          <cell r="B228" t="str">
            <v>PJ25050153</v>
          </cell>
          <cell r="C228">
            <v>223</v>
          </cell>
          <cell r="D228" t="str">
            <v>Mesa de jogos com 4 bancos.</v>
          </cell>
          <cell r="E228" t="str">
            <v xml:space="preserve"> un</v>
          </cell>
          <cell r="F228">
            <v>547.5</v>
          </cell>
          <cell r="G228">
            <v>14</v>
          </cell>
        </row>
        <row r="229">
          <cell r="B229" t="str">
            <v>PJ25100253</v>
          </cell>
          <cell r="C229">
            <v>224</v>
          </cell>
          <cell r="D229" t="str">
            <v>Brinquedo modelo A-08 Dupla Escalada.</v>
          </cell>
          <cell r="E229" t="str">
            <v xml:space="preserve"> un</v>
          </cell>
          <cell r="F229">
            <v>1730.38</v>
          </cell>
          <cell r="G229">
            <v>5</v>
          </cell>
        </row>
        <row r="230">
          <cell r="B230" t="str">
            <v>PJ25100350</v>
          </cell>
          <cell r="C230">
            <v>225</v>
          </cell>
          <cell r="D230" t="str">
            <v>Casa do Tarzan, referência M-45, conforme o modelo.</v>
          </cell>
          <cell r="E230" t="str">
            <v xml:space="preserve"> un</v>
          </cell>
          <cell r="F230">
            <v>2911.25</v>
          </cell>
          <cell r="G230">
            <v>1</v>
          </cell>
        </row>
        <row r="231">
          <cell r="B231" t="str">
            <v>PJ25100600</v>
          </cell>
          <cell r="C231">
            <v>226</v>
          </cell>
          <cell r="D231" t="str">
            <v>Etapa 8, conforme o modelo Pactaplayground.</v>
          </cell>
          <cell r="E231" t="str">
            <v xml:space="preserve"> un</v>
          </cell>
          <cell r="F231">
            <v>263.37</v>
          </cell>
          <cell r="G231">
            <v>1</v>
          </cell>
        </row>
        <row r="232">
          <cell r="B232" t="str">
            <v>PJ25101000</v>
          </cell>
          <cell r="C232">
            <v>227</v>
          </cell>
          <cell r="D232" t="str">
            <v>Prancha para abdominal, em madeira de Lei.</v>
          </cell>
          <cell r="E232" t="str">
            <v xml:space="preserve"> un</v>
          </cell>
          <cell r="F232">
            <v>288.86</v>
          </cell>
          <cell r="G232">
            <v>2</v>
          </cell>
        </row>
        <row r="233">
          <cell r="B233" t="str">
            <v>PJ15050153</v>
          </cell>
          <cell r="C233">
            <v>228</v>
          </cell>
          <cell r="D233" t="str">
            <v>Protetor de árvore em ferro de 3/8".</v>
          </cell>
          <cell r="E233" t="str">
            <v xml:space="preserve"> un</v>
          </cell>
          <cell r="F233">
            <v>40.17</v>
          </cell>
          <cell r="G233">
            <v>283</v>
          </cell>
        </row>
        <row r="234">
          <cell r="B234" t="str">
            <v>PJ20050200</v>
          </cell>
          <cell r="C234">
            <v>229</v>
          </cell>
          <cell r="D234" t="str">
            <v>Aterro com terra preta simples, para gramados.</v>
          </cell>
          <cell r="E234" t="str">
            <v>m3</v>
          </cell>
          <cell r="F234">
            <v>57.72</v>
          </cell>
          <cell r="G234">
            <v>303</v>
          </cell>
        </row>
        <row r="235">
          <cell r="B235" t="str">
            <v>PJ20050453</v>
          </cell>
          <cell r="C235">
            <v>230</v>
          </cell>
          <cell r="D235" t="str">
            <v>Irrigação de árvore e/ou palmeira com Caminhão Pipa.</v>
          </cell>
          <cell r="E235" t="str">
            <v xml:space="preserve"> un</v>
          </cell>
          <cell r="F235">
            <v>0.25</v>
          </cell>
          <cell r="G235">
            <v>303</v>
          </cell>
        </row>
        <row r="236">
          <cell r="B236" t="str">
            <v>PJ20050870</v>
          </cell>
          <cell r="C236">
            <v>231</v>
          </cell>
          <cell r="D236" t="str">
            <v xml:space="preserve">Revolvimento de solo até 20cm de profundidade.   </v>
          </cell>
          <cell r="E236" t="str">
            <v>m2</v>
          </cell>
          <cell r="F236">
            <v>0.67</v>
          </cell>
          <cell r="G236">
            <v>1000</v>
          </cell>
        </row>
        <row r="237">
          <cell r="B237" t="str">
            <v>PJ25250106</v>
          </cell>
          <cell r="C237">
            <v>232</v>
          </cell>
          <cell r="D237" t="str">
            <v>Frade metálico, em ferro fundido, modelo ciclovia.</v>
          </cell>
          <cell r="E237" t="str">
            <v xml:space="preserve"> un</v>
          </cell>
          <cell r="F237">
            <v>94.45</v>
          </cell>
          <cell r="G237">
            <v>505</v>
          </cell>
        </row>
        <row r="238">
          <cell r="B238" t="str">
            <v>PJ40050159</v>
          </cell>
          <cell r="C238">
            <v>233</v>
          </cell>
          <cell r="D238" t="str">
            <v>Remoção de espécies vegetais.</v>
          </cell>
          <cell r="E238" t="str">
            <v xml:space="preserve"> un</v>
          </cell>
          <cell r="F238">
            <v>207.92</v>
          </cell>
          <cell r="G238">
            <v>35</v>
          </cell>
        </row>
        <row r="239">
          <cell r="B239" t="str">
            <v>IP05100300</v>
          </cell>
          <cell r="C239">
            <v>234</v>
          </cell>
          <cell r="D239" t="str">
            <v>Poste de aço, reto, cônico contínuo de 4,5m.</v>
          </cell>
          <cell r="E239" t="str">
            <v xml:space="preserve"> un</v>
          </cell>
          <cell r="F239">
            <v>199.5</v>
          </cell>
          <cell r="G239">
            <v>70</v>
          </cell>
        </row>
        <row r="240">
          <cell r="B240" t="str">
            <v>IP05100553</v>
          </cell>
          <cell r="C240">
            <v>235</v>
          </cell>
          <cell r="D240" t="str">
            <v>Poste de aço, reto, de 7m.</v>
          </cell>
          <cell r="E240" t="str">
            <v xml:space="preserve"> un</v>
          </cell>
          <cell r="F240">
            <v>4336.38</v>
          </cell>
          <cell r="G240">
            <v>10</v>
          </cell>
        </row>
        <row r="241">
          <cell r="B241" t="str">
            <v>IP05100556</v>
          </cell>
          <cell r="C241">
            <v>236</v>
          </cell>
          <cell r="D241" t="str">
            <v>Poste de aço, reto, de 7m.</v>
          </cell>
          <cell r="E241" t="str">
            <v xml:space="preserve"> un</v>
          </cell>
          <cell r="F241">
            <v>4127</v>
          </cell>
          <cell r="G241">
            <v>20</v>
          </cell>
        </row>
        <row r="242">
          <cell r="B242" t="str">
            <v>IP05100562</v>
          </cell>
          <cell r="C242">
            <v>237</v>
          </cell>
          <cell r="D242" t="str">
            <v>Poste de aço, reto, de 7m.</v>
          </cell>
          <cell r="E242" t="str">
            <v xml:space="preserve"> un</v>
          </cell>
          <cell r="F242">
            <v>3360</v>
          </cell>
          <cell r="G242">
            <v>40</v>
          </cell>
        </row>
        <row r="243">
          <cell r="B243" t="str">
            <v>IP10300506</v>
          </cell>
          <cell r="C243">
            <v>238</v>
          </cell>
          <cell r="D243" t="str">
            <v>Conector tipo cunha, em liga de cobre estanhado.</v>
          </cell>
          <cell r="E243" t="str">
            <v xml:space="preserve"> un</v>
          </cell>
          <cell r="F243">
            <v>6.55</v>
          </cell>
          <cell r="G243">
            <v>32</v>
          </cell>
        </row>
        <row r="244">
          <cell r="B244" t="str">
            <v>IP15250100</v>
          </cell>
          <cell r="C244">
            <v>239</v>
          </cell>
          <cell r="D244" t="str">
            <v xml:space="preserve">Cabo de cobre nu, seção de 16mm2.  Fornecimento.  </v>
          </cell>
          <cell r="E244" t="str">
            <v>kg</v>
          </cell>
          <cell r="F244">
            <v>11.42</v>
          </cell>
          <cell r="G244">
            <v>140</v>
          </cell>
        </row>
        <row r="245">
          <cell r="B245" t="str">
            <v>IP15250109</v>
          </cell>
          <cell r="C245">
            <v>240</v>
          </cell>
          <cell r="D245" t="str">
            <v xml:space="preserve">Cabo de cobre nu, seção de 25mm2.  Fornecimento. </v>
          </cell>
          <cell r="E245" t="str">
            <v>kg</v>
          </cell>
          <cell r="F245">
            <v>11.42</v>
          </cell>
          <cell r="G245">
            <v>141.69999999999999</v>
          </cell>
        </row>
        <row r="246">
          <cell r="B246" t="str">
            <v>IP15300053</v>
          </cell>
          <cell r="C246">
            <v>241</v>
          </cell>
          <cell r="D246" t="str">
            <v>Cabo de cobre flexível, 750V, seção de 2x1,5mm2.</v>
          </cell>
          <cell r="E246" t="str">
            <v>m</v>
          </cell>
          <cell r="F246">
            <v>0.88</v>
          </cell>
          <cell r="G246">
            <v>2158</v>
          </cell>
        </row>
        <row r="247">
          <cell r="B247" t="str">
            <v>IP15300062</v>
          </cell>
          <cell r="C247">
            <v>242</v>
          </cell>
          <cell r="D247" t="str">
            <v>Cabo de cobre flexível, 750V, seção de 3x1,5mm2.</v>
          </cell>
          <cell r="E247" t="str">
            <v xml:space="preserve"> un</v>
          </cell>
          <cell r="F247">
            <v>4.62</v>
          </cell>
          <cell r="G247">
            <v>2158</v>
          </cell>
        </row>
        <row r="248">
          <cell r="B248" t="str">
            <v>IP15350350</v>
          </cell>
          <cell r="C248">
            <v>243</v>
          </cell>
          <cell r="D248" t="str">
            <v>Cabo de cobre rígido, seção de 10mm2, 1Kv,  XLPE.</v>
          </cell>
          <cell r="E248" t="str">
            <v>m</v>
          </cell>
          <cell r="F248">
            <v>2.2599999999999998</v>
          </cell>
          <cell r="G248">
            <v>5100</v>
          </cell>
        </row>
        <row r="249">
          <cell r="B249" t="str">
            <v>IP15350456</v>
          </cell>
          <cell r="C249">
            <v>244</v>
          </cell>
          <cell r="D249" t="str">
            <v>Cabo de cobre rígido, seção de 25mm2, 1Kv, XLPE.</v>
          </cell>
          <cell r="E249" t="str">
            <v>m</v>
          </cell>
          <cell r="F249">
            <v>4.4400000000000004</v>
          </cell>
          <cell r="G249">
            <v>144</v>
          </cell>
        </row>
        <row r="250">
          <cell r="B250" t="str">
            <v>IP15350556</v>
          </cell>
          <cell r="C250">
            <v>245</v>
          </cell>
          <cell r="D250" t="str">
            <v>Cabo de cobre rígido, seção de 50mm2, 1Kv, XLPE.</v>
          </cell>
          <cell r="E250" t="str">
            <v>m</v>
          </cell>
          <cell r="F250">
            <v>23.38</v>
          </cell>
          <cell r="G250">
            <v>1870</v>
          </cell>
        </row>
        <row r="251">
          <cell r="B251" t="str">
            <v>IP15450106</v>
          </cell>
          <cell r="C251">
            <v>246</v>
          </cell>
          <cell r="D251" t="str">
            <v>Colocação de 3 condutores singelos em linha de dutos.</v>
          </cell>
          <cell r="E251" t="str">
            <v>m</v>
          </cell>
          <cell r="F251">
            <v>1.42</v>
          </cell>
          <cell r="G251">
            <v>940</v>
          </cell>
        </row>
        <row r="252">
          <cell r="B252" t="str">
            <v>IP15450109</v>
          </cell>
          <cell r="C252">
            <v>247</v>
          </cell>
          <cell r="D252" t="str">
            <v>Colocação de 4 condutores singelos em linha de dutos.</v>
          </cell>
          <cell r="E252" t="str">
            <v>m</v>
          </cell>
          <cell r="F252">
            <v>1.96</v>
          </cell>
          <cell r="G252">
            <v>6180</v>
          </cell>
        </row>
        <row r="253">
          <cell r="B253" t="str">
            <v>IP35150050</v>
          </cell>
          <cell r="C253">
            <v>248</v>
          </cell>
          <cell r="D253" t="str">
            <v>Comando em grupo CRJ-04 ou similar, 85A.</v>
          </cell>
          <cell r="E253" t="str">
            <v xml:space="preserve"> un</v>
          </cell>
          <cell r="F253">
            <v>1984.4</v>
          </cell>
          <cell r="G253">
            <v>2</v>
          </cell>
        </row>
        <row r="254">
          <cell r="B254" t="str">
            <v>IP35150400</v>
          </cell>
          <cell r="C254">
            <v>249</v>
          </cell>
          <cell r="D254" t="str">
            <v>Comando para IP, caixa trifásico, capacidade de 45A.</v>
          </cell>
          <cell r="E254" t="str">
            <v xml:space="preserve"> un</v>
          </cell>
          <cell r="F254">
            <v>1238</v>
          </cell>
          <cell r="G254">
            <v>6</v>
          </cell>
        </row>
        <row r="255">
          <cell r="B255" t="str">
            <v>IP40050100</v>
          </cell>
          <cell r="C255">
            <v>250</v>
          </cell>
          <cell r="D255" t="str">
            <v>Chave blindada, bipolar, 60A. Fornecimento.</v>
          </cell>
          <cell r="E255" t="str">
            <v xml:space="preserve"> un</v>
          </cell>
          <cell r="F255">
            <v>127</v>
          </cell>
          <cell r="G255">
            <v>10</v>
          </cell>
        </row>
        <row r="256">
          <cell r="B256" t="str">
            <v>IP50300850</v>
          </cell>
          <cell r="C256">
            <v>251</v>
          </cell>
          <cell r="D256" t="str">
            <v>Reator subterrâneo para lâmpada de VS de 400W.</v>
          </cell>
          <cell r="E256" t="str">
            <v xml:space="preserve"> un</v>
          </cell>
          <cell r="F256">
            <v>79.099999999999994</v>
          </cell>
          <cell r="G256">
            <v>198</v>
          </cell>
        </row>
        <row r="257">
          <cell r="B257" t="str">
            <v>IP10350400</v>
          </cell>
          <cell r="C257">
            <v>252</v>
          </cell>
          <cell r="D257" t="str">
            <v>Caixa de ligação tipo Condulets R-15/LB-22.</v>
          </cell>
          <cell r="E257" t="str">
            <v xml:space="preserve"> un</v>
          </cell>
          <cell r="F257">
            <v>7.62</v>
          </cell>
          <cell r="G257">
            <v>40</v>
          </cell>
        </row>
        <row r="258">
          <cell r="B258" t="str">
            <v>IP20050050</v>
          </cell>
          <cell r="C258">
            <v>253</v>
          </cell>
          <cell r="D258" t="str">
            <v xml:space="preserve">Aterramento de caixa Hand-Hole. </v>
          </cell>
          <cell r="E258" t="str">
            <v xml:space="preserve"> un</v>
          </cell>
          <cell r="F258">
            <v>10.34</v>
          </cell>
          <cell r="G258">
            <v>140</v>
          </cell>
        </row>
        <row r="259">
          <cell r="B259" t="str">
            <v>IP25100153</v>
          </cell>
          <cell r="C259">
            <v>254</v>
          </cell>
          <cell r="D259" t="str">
            <v>Caixa Hand-Hole, (0,60x0,60)m.</v>
          </cell>
          <cell r="E259" t="str">
            <v xml:space="preserve"> un</v>
          </cell>
          <cell r="F259">
            <v>80.78</v>
          </cell>
          <cell r="G259">
            <v>140</v>
          </cell>
        </row>
        <row r="260">
          <cell r="B260" t="str">
            <v>IP25100165</v>
          </cell>
          <cell r="C260">
            <v>255</v>
          </cell>
          <cell r="D260" t="str">
            <v>Caixa Hand-Hole, (0,60x0,90)m.</v>
          </cell>
          <cell r="E260" t="str">
            <v xml:space="preserve"> un</v>
          </cell>
          <cell r="F260">
            <v>111.4</v>
          </cell>
          <cell r="G260">
            <v>20</v>
          </cell>
        </row>
        <row r="261">
          <cell r="B261" t="str">
            <v>IP50100200</v>
          </cell>
          <cell r="C261">
            <v>256</v>
          </cell>
          <cell r="D261" t="str">
            <v>Luminária decorativa LDRJ-06 para lâmpada VS.</v>
          </cell>
          <cell r="E261" t="str">
            <v xml:space="preserve"> un</v>
          </cell>
          <cell r="F261">
            <v>362.07</v>
          </cell>
          <cell r="G261">
            <v>360</v>
          </cell>
        </row>
        <row r="262">
          <cell r="B262" t="str">
            <v>IP50100250</v>
          </cell>
          <cell r="C262">
            <v>257</v>
          </cell>
          <cell r="D262" t="str">
            <v>Luminária decorativa tipo LDRJ-16/2.</v>
          </cell>
          <cell r="E262" t="str">
            <v xml:space="preserve"> un</v>
          </cell>
          <cell r="F262">
            <v>249.69</v>
          </cell>
          <cell r="G262">
            <v>280</v>
          </cell>
        </row>
        <row r="263">
          <cell r="B263" t="str">
            <v>IP50200050</v>
          </cell>
          <cell r="C263">
            <v>258</v>
          </cell>
          <cell r="D263" t="str">
            <v>Base simples para luminária LDRJ-06.</v>
          </cell>
          <cell r="E263" t="str">
            <v xml:space="preserve"> un</v>
          </cell>
          <cell r="F263">
            <v>40</v>
          </cell>
          <cell r="G263">
            <v>280</v>
          </cell>
        </row>
        <row r="264">
          <cell r="B264" t="str">
            <v>IP50250406</v>
          </cell>
          <cell r="C264">
            <v>259</v>
          </cell>
          <cell r="D264" t="str">
            <v>Lâmpada de multivapor metálico (MVM) 70W/220V.</v>
          </cell>
          <cell r="E264" t="str">
            <v xml:space="preserve"> un</v>
          </cell>
          <cell r="F264">
            <v>73.77</v>
          </cell>
          <cell r="G264">
            <v>80</v>
          </cell>
        </row>
        <row r="265">
          <cell r="B265" t="str">
            <v>IP50250412</v>
          </cell>
          <cell r="C265">
            <v>260</v>
          </cell>
          <cell r="D265" t="str">
            <v>Lâmpada de multivapor metálico (MVM) 150W/220V.</v>
          </cell>
          <cell r="E265" t="str">
            <v xml:space="preserve"> un</v>
          </cell>
          <cell r="F265">
            <v>163.22999999999999</v>
          </cell>
          <cell r="G265">
            <v>20</v>
          </cell>
        </row>
        <row r="266">
          <cell r="B266" t="str">
            <v>IP05350100</v>
          </cell>
          <cell r="C266">
            <v>261</v>
          </cell>
          <cell r="D266" t="str">
            <v>Fundação simples de concreto pré-moldado,RIOLUZ.</v>
          </cell>
          <cell r="E266" t="str">
            <v xml:space="preserve"> un</v>
          </cell>
          <cell r="F266">
            <v>55.26</v>
          </cell>
          <cell r="G266">
            <v>70</v>
          </cell>
        </row>
        <row r="267">
          <cell r="B267" t="str">
            <v>IP05350150</v>
          </cell>
          <cell r="C267">
            <v>262</v>
          </cell>
          <cell r="D267" t="str">
            <v>Fundação simples de concreto pré-moldado,RIOLUZ.</v>
          </cell>
          <cell r="E267" t="str">
            <v xml:space="preserve"> un</v>
          </cell>
          <cell r="F267">
            <v>61.7</v>
          </cell>
          <cell r="G267">
            <v>70</v>
          </cell>
        </row>
        <row r="268">
          <cell r="B268" t="str">
            <v>IP05550150</v>
          </cell>
          <cell r="C268">
            <v>263</v>
          </cell>
          <cell r="D268" t="str">
            <v>Braço, padrão RIOLUZ, de 1,5m até 2,50m.</v>
          </cell>
          <cell r="E268" t="str">
            <v xml:space="preserve"> un</v>
          </cell>
          <cell r="F268">
            <v>47.7</v>
          </cell>
          <cell r="G268">
            <v>280</v>
          </cell>
        </row>
        <row r="269">
          <cell r="B269" t="str">
            <v>IP15200050</v>
          </cell>
          <cell r="C269">
            <v>264</v>
          </cell>
          <cell r="D269" t="str">
            <v>Mufla, 12/20Kv, referência terminal modular TM.</v>
          </cell>
          <cell r="E269" t="str">
            <v xml:space="preserve"> un</v>
          </cell>
          <cell r="F269">
            <v>173.71</v>
          </cell>
          <cell r="G269">
            <v>40</v>
          </cell>
        </row>
        <row r="270">
          <cell r="B270" t="str">
            <v>IP15500100</v>
          </cell>
          <cell r="C270">
            <v>265</v>
          </cell>
          <cell r="D270" t="str">
            <v>Anilha de nylon para identificação de condutor XLPE.</v>
          </cell>
          <cell r="E270" t="str">
            <v xml:space="preserve"> un</v>
          </cell>
          <cell r="F270">
            <v>0.02</v>
          </cell>
          <cell r="G270">
            <v>324</v>
          </cell>
        </row>
        <row r="271">
          <cell r="B271" t="str">
            <v>IP15500150</v>
          </cell>
          <cell r="C271">
            <v>266</v>
          </cell>
          <cell r="D271" t="str">
            <v>Anilha de nylon para identificação de condutor XLPE.</v>
          </cell>
          <cell r="E271" t="str">
            <v xml:space="preserve"> un</v>
          </cell>
          <cell r="F271">
            <v>0.03</v>
          </cell>
          <cell r="G271">
            <v>324</v>
          </cell>
        </row>
        <row r="272">
          <cell r="B272" t="str">
            <v>IP20050053</v>
          </cell>
          <cell r="C272">
            <v>267</v>
          </cell>
          <cell r="D272" t="str">
            <v>Aterramento de poste de aço.</v>
          </cell>
          <cell r="E272" t="str">
            <v xml:space="preserve"> un</v>
          </cell>
          <cell r="F272">
            <v>18.57</v>
          </cell>
          <cell r="G272">
            <v>140</v>
          </cell>
        </row>
        <row r="273">
          <cell r="B273" t="str">
            <v>IP20050056</v>
          </cell>
          <cell r="C273">
            <v>268</v>
          </cell>
          <cell r="D273" t="str">
            <v>Aterramento de tampão.</v>
          </cell>
          <cell r="E273" t="str">
            <v xml:space="preserve"> un</v>
          </cell>
          <cell r="F273">
            <v>28.47</v>
          </cell>
          <cell r="G273">
            <v>140</v>
          </cell>
        </row>
        <row r="274">
          <cell r="B274" t="str">
            <v>IP20050153</v>
          </cell>
          <cell r="C274">
            <v>269</v>
          </cell>
          <cell r="D274" t="str">
            <v>Conjunto de aterramento de transformador.</v>
          </cell>
          <cell r="E274" t="str">
            <v xml:space="preserve"> un</v>
          </cell>
          <cell r="F274">
            <v>176.69</v>
          </cell>
          <cell r="G274">
            <v>53</v>
          </cell>
        </row>
        <row r="275">
          <cell r="B275" t="str">
            <v>IP30200509</v>
          </cell>
          <cell r="C275">
            <v>270</v>
          </cell>
          <cell r="D275" t="str">
            <v>Luva para eletroduto de PVC rígido de 50mm.</v>
          </cell>
          <cell r="E275" t="str">
            <v xml:space="preserve"> un</v>
          </cell>
          <cell r="F275">
            <v>3.43</v>
          </cell>
          <cell r="G275">
            <v>40</v>
          </cell>
        </row>
        <row r="276">
          <cell r="B276" t="str">
            <v>IP50300700</v>
          </cell>
          <cell r="C276">
            <v>271</v>
          </cell>
          <cell r="D276" t="str">
            <v>Reator subterrâneo lâmpada vapor de sódio de 70W.</v>
          </cell>
          <cell r="E276" t="str">
            <v xml:space="preserve"> un</v>
          </cell>
          <cell r="F276">
            <v>40.54</v>
          </cell>
          <cell r="G276">
            <v>200</v>
          </cell>
        </row>
        <row r="277">
          <cell r="B277" t="str">
            <v>IP50300750</v>
          </cell>
          <cell r="C277">
            <v>272</v>
          </cell>
          <cell r="D277" t="str">
            <v>Reator subterrâneo lâmpada vapor de sódio de 150W.</v>
          </cell>
          <cell r="E277" t="str">
            <v xml:space="preserve"> un</v>
          </cell>
          <cell r="F277">
            <v>74.319999999999993</v>
          </cell>
          <cell r="G277">
            <v>26</v>
          </cell>
        </row>
        <row r="278">
          <cell r="B278" t="str">
            <v>IP60200200</v>
          </cell>
          <cell r="C278">
            <v>273</v>
          </cell>
          <cell r="D278" t="str">
            <v xml:space="preserve">Retirada de chaves fusíveis e ferragens, linha 13,2Kv.   </v>
          </cell>
          <cell r="E278" t="str">
            <v xml:space="preserve"> un</v>
          </cell>
          <cell r="F278">
            <v>9.76</v>
          </cell>
          <cell r="G278">
            <v>100</v>
          </cell>
        </row>
        <row r="279">
          <cell r="B279" t="str">
            <v>IP60200362</v>
          </cell>
          <cell r="C279">
            <v>274</v>
          </cell>
          <cell r="D279" t="str">
            <v>Retirada de luminária em poste com 13m a 15m.</v>
          </cell>
          <cell r="E279" t="str">
            <v xml:space="preserve"> un</v>
          </cell>
          <cell r="F279">
            <v>9.76</v>
          </cell>
          <cell r="G279">
            <v>118</v>
          </cell>
        </row>
        <row r="280">
          <cell r="B280" t="str">
            <v>IP60200512</v>
          </cell>
          <cell r="C280">
            <v>275</v>
          </cell>
          <cell r="D280" t="str">
            <v xml:space="preserve">Retirada de poste de concreto ou aço de 13m a 15m.   </v>
          </cell>
          <cell r="E280" t="str">
            <v xml:space="preserve"> un</v>
          </cell>
          <cell r="F280">
            <v>97.64</v>
          </cell>
          <cell r="G280">
            <v>108</v>
          </cell>
        </row>
        <row r="281">
          <cell r="B281" t="str">
            <v>IP60200650</v>
          </cell>
          <cell r="C281">
            <v>276</v>
          </cell>
          <cell r="D281" t="str">
            <v xml:space="preserve">Retirada de rede aérea de 13,2Kv (lance).   </v>
          </cell>
          <cell r="E281" t="str">
            <v xml:space="preserve"> un</v>
          </cell>
          <cell r="F281">
            <v>19.53</v>
          </cell>
          <cell r="G281">
            <v>94</v>
          </cell>
        </row>
        <row r="282">
          <cell r="B282" t="str">
            <v>IP60200800</v>
          </cell>
          <cell r="C282">
            <v>277</v>
          </cell>
          <cell r="D282" t="str">
            <v xml:space="preserve">Retirada de transformadores de 5Kva até 112,5Kva.   </v>
          </cell>
          <cell r="E282" t="str">
            <v xml:space="preserve"> un</v>
          </cell>
          <cell r="F282">
            <v>39.06</v>
          </cell>
          <cell r="G282">
            <v>2</v>
          </cell>
        </row>
        <row r="283">
          <cell r="B283" t="str">
            <v>IP99990150</v>
          </cell>
          <cell r="C283">
            <v>278</v>
          </cell>
          <cell r="D283" t="str">
            <v>Capa isolante de silicone para conector tipo cunha.</v>
          </cell>
          <cell r="E283" t="str">
            <v xml:space="preserve"> un</v>
          </cell>
          <cell r="F283">
            <v>3.68</v>
          </cell>
          <cell r="G283">
            <v>1475</v>
          </cell>
        </row>
        <row r="284">
          <cell r="B284" t="str">
            <v>ST05051200</v>
          </cell>
          <cell r="C284">
            <v>279</v>
          </cell>
          <cell r="D284" t="str">
            <v>Sinalização horizontal, aplicada por extursão.</v>
          </cell>
          <cell r="E284" t="str">
            <v>m2</v>
          </cell>
          <cell r="F284">
            <v>37.81</v>
          </cell>
          <cell r="G284">
            <v>1000</v>
          </cell>
        </row>
        <row r="285">
          <cell r="B285" t="str">
            <v>ST10150050</v>
          </cell>
          <cell r="C285">
            <v>280</v>
          </cell>
          <cell r="D285" t="str">
            <v>Bloco semafórico para pedestre.</v>
          </cell>
          <cell r="E285" t="str">
            <v xml:space="preserve"> un</v>
          </cell>
          <cell r="F285">
            <v>224.25</v>
          </cell>
          <cell r="G285">
            <v>60</v>
          </cell>
        </row>
        <row r="286">
          <cell r="B286" t="str">
            <v>ST10150150</v>
          </cell>
          <cell r="C286">
            <v>281</v>
          </cell>
          <cell r="D286" t="str">
            <v>Bloco semafórico principal.</v>
          </cell>
          <cell r="E286" t="str">
            <v xml:space="preserve"> un</v>
          </cell>
          <cell r="F286">
            <v>691.39</v>
          </cell>
          <cell r="G286">
            <v>48</v>
          </cell>
        </row>
        <row r="287">
          <cell r="B287" t="str">
            <v>ST10150200</v>
          </cell>
          <cell r="C287">
            <v>282</v>
          </cell>
          <cell r="D287" t="str">
            <v>Bloco semafórico repetidor.</v>
          </cell>
          <cell r="E287" t="str">
            <v xml:space="preserve"> un</v>
          </cell>
          <cell r="F287">
            <v>423</v>
          </cell>
          <cell r="G287">
            <v>65</v>
          </cell>
        </row>
        <row r="288">
          <cell r="B288" t="str">
            <v>ST10150300</v>
          </cell>
          <cell r="C288">
            <v>283</v>
          </cell>
          <cell r="D288" t="str">
            <v>Conjunto semafórico para pedestre.</v>
          </cell>
          <cell r="E288" t="str">
            <v xml:space="preserve"> un</v>
          </cell>
          <cell r="F288">
            <v>1779.7</v>
          </cell>
          <cell r="G288">
            <v>20</v>
          </cell>
        </row>
        <row r="289">
          <cell r="B289" t="str">
            <v>ST15250100</v>
          </cell>
          <cell r="C289">
            <v>284</v>
          </cell>
          <cell r="D289" t="str">
            <v>Placa de sinalização de alumínio com fundo pintado.</v>
          </cell>
          <cell r="E289" t="str">
            <v>m2</v>
          </cell>
          <cell r="F289">
            <v>239</v>
          </cell>
          <cell r="G289">
            <v>30</v>
          </cell>
        </row>
        <row r="290">
          <cell r="B290" t="str">
            <v>ST15250150</v>
          </cell>
          <cell r="C290">
            <v>285</v>
          </cell>
          <cell r="D290" t="str">
            <v>Placa de sinalização de alumínio em película refletiva.</v>
          </cell>
          <cell r="E290" t="str">
            <v>m2</v>
          </cell>
          <cell r="F290">
            <v>1013.69</v>
          </cell>
          <cell r="G290">
            <v>60</v>
          </cell>
        </row>
        <row r="291">
          <cell r="B291" t="str">
            <v>ST15250200</v>
          </cell>
          <cell r="C291">
            <v>286</v>
          </cell>
          <cell r="D291" t="str">
            <v>Placa de sinalização de alumínio em película refletiva.</v>
          </cell>
          <cell r="E291" t="str">
            <v>m2</v>
          </cell>
          <cell r="F291">
            <v>564.05999999999995</v>
          </cell>
          <cell r="G291">
            <v>400</v>
          </cell>
        </row>
        <row r="292">
          <cell r="B292" t="str">
            <v>ST10100050</v>
          </cell>
          <cell r="C292">
            <v>287</v>
          </cell>
          <cell r="D292" t="str">
            <v>Controlador de área, compatível com CET-RIO/CTA.</v>
          </cell>
          <cell r="E292" t="str">
            <v xml:space="preserve"> un</v>
          </cell>
          <cell r="F292">
            <v>53682.42</v>
          </cell>
          <cell r="G292">
            <v>1</v>
          </cell>
        </row>
        <row r="293">
          <cell r="B293" t="str">
            <v>ST10100450</v>
          </cell>
          <cell r="C293">
            <v>288</v>
          </cell>
          <cell r="D293" t="str">
            <v>Controlador eletrônico de tráfego local, 4 fases.</v>
          </cell>
          <cell r="E293" t="str">
            <v xml:space="preserve"> un</v>
          </cell>
          <cell r="F293">
            <v>8268.98</v>
          </cell>
          <cell r="G293">
            <v>2</v>
          </cell>
        </row>
        <row r="294">
          <cell r="B294" t="str">
            <v>ST10100500</v>
          </cell>
          <cell r="C294">
            <v>289</v>
          </cell>
          <cell r="D294" t="str">
            <v>Controlador eletrônico de tráfego local, 6 fases.</v>
          </cell>
          <cell r="E294" t="str">
            <v xml:space="preserve"> un</v>
          </cell>
          <cell r="F294">
            <v>9048.98</v>
          </cell>
          <cell r="G294">
            <v>1</v>
          </cell>
        </row>
        <row r="295">
          <cell r="B295" t="str">
            <v>ST10100550</v>
          </cell>
          <cell r="C295">
            <v>290</v>
          </cell>
          <cell r="D295" t="str">
            <v>Controlador eletrônico de tráfego local, 8 fases.</v>
          </cell>
          <cell r="E295" t="str">
            <v xml:space="preserve"> un</v>
          </cell>
          <cell r="F295">
            <v>9828.98</v>
          </cell>
          <cell r="G295">
            <v>1</v>
          </cell>
        </row>
        <row r="296">
          <cell r="B296" t="str">
            <v>ST10100600</v>
          </cell>
          <cell r="C296">
            <v>291</v>
          </cell>
          <cell r="D296" t="str">
            <v>Controlador eletrônico de tráfego local, 10 fases.</v>
          </cell>
          <cell r="E296" t="str">
            <v xml:space="preserve"> un</v>
          </cell>
          <cell r="F296">
            <v>15372.94</v>
          </cell>
          <cell r="G296">
            <v>1</v>
          </cell>
        </row>
        <row r="297">
          <cell r="B297" t="str">
            <v>ST10100650</v>
          </cell>
          <cell r="C297">
            <v>292</v>
          </cell>
          <cell r="D297" t="str">
            <v>Controlador eletrônico de tráfego local, 12 fases.</v>
          </cell>
          <cell r="E297" t="str">
            <v xml:space="preserve"> un</v>
          </cell>
          <cell r="F297">
            <v>16152.94</v>
          </cell>
          <cell r="G297">
            <v>2</v>
          </cell>
        </row>
        <row r="298">
          <cell r="B298" t="str">
            <v>ST10150300</v>
          </cell>
          <cell r="C298">
            <v>293</v>
          </cell>
          <cell r="D298" t="str">
            <v>Conjunto semafórico para pedestre.</v>
          </cell>
          <cell r="E298" t="str">
            <v xml:space="preserve"> un</v>
          </cell>
          <cell r="F298">
            <v>1779.7</v>
          </cell>
          <cell r="G298">
            <v>20</v>
          </cell>
        </row>
        <row r="299">
          <cell r="B299" t="str">
            <v>ST25100150</v>
          </cell>
          <cell r="C299">
            <v>294</v>
          </cell>
          <cell r="D299" t="str">
            <v>Fornecimento de cabo comunicação de CTP-APL-50.</v>
          </cell>
          <cell r="E299" t="str">
            <v>m</v>
          </cell>
          <cell r="F299">
            <v>2.64</v>
          </cell>
          <cell r="G299">
            <v>220</v>
          </cell>
        </row>
        <row r="300">
          <cell r="B300" t="str">
            <v>ST25100300</v>
          </cell>
          <cell r="C300">
            <v>295</v>
          </cell>
          <cell r="D300" t="str">
            <v>Fornecimento de cabo comunicação de cobre, 0,65mm2.</v>
          </cell>
          <cell r="E300" t="str">
            <v>m</v>
          </cell>
          <cell r="F300">
            <v>0.97</v>
          </cell>
          <cell r="G300">
            <v>1215</v>
          </cell>
        </row>
        <row r="301">
          <cell r="B301" t="str">
            <v>ST25100400</v>
          </cell>
          <cell r="C301">
            <v>296</v>
          </cell>
          <cell r="D301" t="str">
            <v xml:space="preserve">Fornecimento de fio telefônico FE-100, ø de 1mm2.      </v>
          </cell>
          <cell r="E301" t="str">
            <v>m</v>
          </cell>
          <cell r="F301">
            <v>0.57999999999999996</v>
          </cell>
          <cell r="G301">
            <v>4618</v>
          </cell>
        </row>
        <row r="302">
          <cell r="B302" t="str">
            <v>ST25150050</v>
          </cell>
          <cell r="C302">
            <v>297</v>
          </cell>
          <cell r="D302" t="str">
            <v>Cabo de fibra ótico, monomodo, geleado.</v>
          </cell>
          <cell r="E302" t="str">
            <v>m</v>
          </cell>
          <cell r="F302">
            <v>3.99</v>
          </cell>
          <cell r="G302">
            <v>972</v>
          </cell>
        </row>
        <row r="303">
          <cell r="B303" t="str">
            <v>ST05050150</v>
          </cell>
          <cell r="C303">
            <v>298</v>
          </cell>
          <cell r="D303" t="str">
            <v>Laminado elastoplástico em faixas, colorido.</v>
          </cell>
          <cell r="E303" t="str">
            <v>m2</v>
          </cell>
          <cell r="F303">
            <v>67.95</v>
          </cell>
          <cell r="G303">
            <v>254</v>
          </cell>
        </row>
        <row r="304">
          <cell r="B304" t="str">
            <v>ST05050250</v>
          </cell>
          <cell r="C304">
            <v>299</v>
          </cell>
          <cell r="D304" t="str">
            <v>Laminado elastoplástico em faixas, cor branca.</v>
          </cell>
          <cell r="E304" t="str">
            <v>m2</v>
          </cell>
          <cell r="F304">
            <v>60.65</v>
          </cell>
          <cell r="G304">
            <v>254</v>
          </cell>
        </row>
        <row r="305">
          <cell r="B305" t="str">
            <v>ST10050050A</v>
          </cell>
          <cell r="C305">
            <v>300</v>
          </cell>
          <cell r="D305" t="str">
            <v>Cabo de cobre estanhado, seção de 7x2,5mm2.</v>
          </cell>
          <cell r="E305" t="str">
            <v>m</v>
          </cell>
          <cell r="F305">
            <v>4.8499999999999996</v>
          </cell>
          <cell r="G305">
            <v>1000</v>
          </cell>
        </row>
        <row r="306">
          <cell r="B306" t="str">
            <v>ST10050100A</v>
          </cell>
          <cell r="C306">
            <v>301</v>
          </cell>
          <cell r="D306" t="str">
            <v>Cabo de cobre estanhado, seção de 4x6mm2.</v>
          </cell>
          <cell r="E306" t="str">
            <v>m</v>
          </cell>
          <cell r="F306">
            <v>5.64</v>
          </cell>
          <cell r="G306">
            <v>400</v>
          </cell>
        </row>
        <row r="307">
          <cell r="B307" t="str">
            <v>ST10050150A</v>
          </cell>
          <cell r="C307">
            <v>302</v>
          </cell>
          <cell r="D307" t="str">
            <v>Cabo de cobre estanhado, seção de 4x10mm2.</v>
          </cell>
          <cell r="E307" t="str">
            <v>m</v>
          </cell>
          <cell r="F307">
            <v>8.77</v>
          </cell>
          <cell r="G307">
            <v>240</v>
          </cell>
        </row>
        <row r="308">
          <cell r="B308" t="str">
            <v>ST10050250A</v>
          </cell>
          <cell r="C308">
            <v>303</v>
          </cell>
          <cell r="D308" t="str">
            <v>Caixa com tampa de ferro leve 300L-400mm,CET-RIO.</v>
          </cell>
          <cell r="E308" t="str">
            <v>un</v>
          </cell>
          <cell r="F308">
            <v>72.06</v>
          </cell>
          <cell r="G308">
            <v>48</v>
          </cell>
        </row>
        <row r="309">
          <cell r="B309" t="str">
            <v>ST10200150A</v>
          </cell>
          <cell r="C309">
            <v>304</v>
          </cell>
          <cell r="D309" t="str">
            <v xml:space="preserve">Base de concreto armado para controlador de tráfego.  </v>
          </cell>
          <cell r="E309" t="str">
            <v>un</v>
          </cell>
          <cell r="F309">
            <v>49.39</v>
          </cell>
          <cell r="G309">
            <v>4</v>
          </cell>
        </row>
        <row r="310">
          <cell r="B310" t="str">
            <v>ST10200250A</v>
          </cell>
          <cell r="C310">
            <v>305</v>
          </cell>
          <cell r="D310" t="str">
            <v xml:space="preserve">Instalação, programação de controlador de tráfego.    </v>
          </cell>
          <cell r="E310" t="str">
            <v>un</v>
          </cell>
          <cell r="F310">
            <v>159.88</v>
          </cell>
          <cell r="G310">
            <v>4</v>
          </cell>
        </row>
        <row r="311">
          <cell r="B311" t="str">
            <v>ST10200300</v>
          </cell>
          <cell r="C311">
            <v>306</v>
          </cell>
          <cell r="D311" t="str">
            <v>Serviços de instalação de laços indutivos.</v>
          </cell>
          <cell r="E311" t="str">
            <v>un</v>
          </cell>
          <cell r="F311">
            <v>680</v>
          </cell>
          <cell r="G311">
            <v>7</v>
          </cell>
        </row>
        <row r="312">
          <cell r="B312" t="str">
            <v>ST15100200</v>
          </cell>
          <cell r="C312">
            <v>307</v>
          </cell>
          <cell r="D312" t="str">
            <v>Poste tipo G9, simples, de 2" de diâmetro.</v>
          </cell>
          <cell r="E312" t="str">
            <v>un</v>
          </cell>
          <cell r="F312">
            <v>163.80000000000001</v>
          </cell>
          <cell r="G312">
            <v>70</v>
          </cell>
        </row>
        <row r="313">
          <cell r="B313" t="str">
            <v>ST15100250</v>
          </cell>
          <cell r="C313">
            <v>308</v>
          </cell>
          <cell r="D313" t="str">
            <v>Poste tipo S5, simples, de 4" de diâmetro.</v>
          </cell>
          <cell r="E313" t="str">
            <v>un</v>
          </cell>
          <cell r="F313">
            <v>496.65</v>
          </cell>
          <cell r="G313">
            <v>19</v>
          </cell>
        </row>
        <row r="314">
          <cell r="B314" t="str">
            <v>ST15100350</v>
          </cell>
          <cell r="C314">
            <v>309</v>
          </cell>
          <cell r="D314" t="str">
            <v>Poste tipo G2 ou S2, coluna de 4 1/2" de diâmetro.</v>
          </cell>
          <cell r="E314" t="str">
            <v>un</v>
          </cell>
          <cell r="F314">
            <v>1234.8</v>
          </cell>
          <cell r="G314">
            <v>14</v>
          </cell>
        </row>
        <row r="315">
          <cell r="B315" t="str">
            <v>ST15100400</v>
          </cell>
          <cell r="C315">
            <v>310</v>
          </cell>
          <cell r="D315" t="str">
            <v>Poste tipo G1 ou S1, coluna de 4 1/2" de diâmetro.</v>
          </cell>
          <cell r="E315" t="str">
            <v>un</v>
          </cell>
          <cell r="F315">
            <v>1342.95</v>
          </cell>
          <cell r="G315">
            <v>15</v>
          </cell>
        </row>
        <row r="316">
          <cell r="B316" t="str">
            <v>ST25050300A</v>
          </cell>
          <cell r="C316">
            <v>311</v>
          </cell>
          <cell r="D316" t="str">
            <v>Instalação subterrânea de cabos de comunicação.</v>
          </cell>
          <cell r="E316" t="str">
            <v>m</v>
          </cell>
          <cell r="F316">
            <v>2.12</v>
          </cell>
          <cell r="G316">
            <v>5700</v>
          </cell>
        </row>
        <row r="317">
          <cell r="B317" t="str">
            <v>ST45150050</v>
          </cell>
          <cell r="C317">
            <v>312</v>
          </cell>
          <cell r="D317" t="str">
            <v>Caixa com tampa de ferro,leve 600L-600mmCET-RIO.</v>
          </cell>
          <cell r="E317" t="str">
            <v>un</v>
          </cell>
          <cell r="F317">
            <v>265.45</v>
          </cell>
          <cell r="G317">
            <v>55</v>
          </cell>
        </row>
        <row r="318">
          <cell r="B318" t="str">
            <v>ST45200050</v>
          </cell>
          <cell r="C318">
            <v>313</v>
          </cell>
          <cell r="D318" t="str">
            <v>Cabo de cobre estanhado, comando,XLPE 9x1,5mm2.</v>
          </cell>
          <cell r="E318" t="str">
            <v>m</v>
          </cell>
          <cell r="F318">
            <v>4.34</v>
          </cell>
          <cell r="G318">
            <v>1800</v>
          </cell>
        </row>
        <row r="319">
          <cell r="B319" t="str">
            <v>ST45200200</v>
          </cell>
          <cell r="C319">
            <v>314</v>
          </cell>
          <cell r="D319" t="str">
            <v xml:space="preserve">Instalação e teste de blocos semafóricos.  </v>
          </cell>
          <cell r="E319" t="str">
            <v>un</v>
          </cell>
          <cell r="F319">
            <v>54.85</v>
          </cell>
          <cell r="G319">
            <v>58</v>
          </cell>
        </row>
        <row r="321">
          <cell r="B321" t="str">
            <v>ITENS INSERIDOS</v>
          </cell>
        </row>
        <row r="322">
          <cell r="B322" t="str">
            <v>BP20150053</v>
          </cell>
          <cell r="C322">
            <v>315</v>
          </cell>
          <cell r="D322" t="str">
            <v>Sarjeta e meio-fio conjugados, moldado no local, 0,45m.</v>
          </cell>
          <cell r="E322" t="str">
            <v>m</v>
          </cell>
          <cell r="F322">
            <v>37.200000000000003</v>
          </cell>
          <cell r="G322">
            <v>3640.55</v>
          </cell>
        </row>
        <row r="323">
          <cell r="B323" t="str">
            <v>BP10200356</v>
          </cell>
          <cell r="C323">
            <v>316</v>
          </cell>
          <cell r="D323" t="str">
            <v xml:space="preserve">Revestimento intertravado, cor natural, 8cm. </v>
          </cell>
          <cell r="E323" t="str">
            <v>m2</v>
          </cell>
          <cell r="F323">
            <v>38.08</v>
          </cell>
          <cell r="G323">
            <v>13265.71</v>
          </cell>
        </row>
        <row r="324">
          <cell r="B324" t="str">
            <v>BP10200359</v>
          </cell>
          <cell r="C324">
            <v>317</v>
          </cell>
          <cell r="D324" t="str">
            <v>Revestimento intertravado com cimento cinza, colorido; 8cm.</v>
          </cell>
          <cell r="E324" t="str">
            <v>m2</v>
          </cell>
          <cell r="F324">
            <v>43.85</v>
          </cell>
          <cell r="G324">
            <v>1167.57</v>
          </cell>
        </row>
        <row r="326">
          <cell r="B326" t="str">
            <v>ITENS NOVOS</v>
          </cell>
        </row>
        <row r="327">
          <cell r="B327" t="str">
            <v>AD05200050</v>
          </cell>
          <cell r="C327">
            <v>318</v>
          </cell>
          <cell r="D327" t="str">
            <v xml:space="preserve">Sondagem a percurssao ate 3" </v>
          </cell>
          <cell r="E327" t="str">
            <v>m</v>
          </cell>
          <cell r="F327">
            <v>49</v>
          </cell>
          <cell r="G327">
            <v>270</v>
          </cell>
        </row>
        <row r="328">
          <cell r="B328" t="str">
            <v>AD15050050</v>
          </cell>
          <cell r="C328">
            <v>319</v>
          </cell>
          <cell r="D328" t="str">
            <v>Deslocamento, entre furos, sondagem a percurssao.</v>
          </cell>
          <cell r="E328" t="str">
            <v>un</v>
          </cell>
          <cell r="F328">
            <v>152.19</v>
          </cell>
          <cell r="G328">
            <v>13</v>
          </cell>
        </row>
        <row r="329">
          <cell r="B329" t="str">
            <v>AD20150050</v>
          </cell>
          <cell r="C329">
            <v>320</v>
          </cell>
          <cell r="D329" t="str">
            <v>Container para escritorio.</v>
          </cell>
          <cell r="E329" t="str">
            <v>un.mes</v>
          </cell>
          <cell r="F329">
            <v>494.18</v>
          </cell>
          <cell r="G329">
            <v>6</v>
          </cell>
        </row>
        <row r="330">
          <cell r="B330" t="str">
            <v>AD20150150</v>
          </cell>
          <cell r="C330">
            <v>321</v>
          </cell>
          <cell r="D330" t="str">
            <v>Container para WC.</v>
          </cell>
          <cell r="E330" t="str">
            <v>un.mes</v>
          </cell>
          <cell r="F330">
            <v>511.48</v>
          </cell>
          <cell r="G330">
            <v>3</v>
          </cell>
        </row>
        <row r="331">
          <cell r="B331" t="str">
            <v>AD40050128</v>
          </cell>
          <cell r="C331">
            <v>322</v>
          </cell>
          <cell r="D331" t="str">
            <v>Engenheiro coordenador geral de projetos.</v>
          </cell>
          <cell r="E331" t="str">
            <v>h</v>
          </cell>
          <cell r="F331">
            <v>43.69</v>
          </cell>
          <cell r="G331">
            <v>378</v>
          </cell>
        </row>
        <row r="332">
          <cell r="B332" t="str">
            <v>AD40050152</v>
          </cell>
          <cell r="C332">
            <v>323</v>
          </cell>
          <cell r="D332" t="str">
            <v>Mestre de obra A (inclusive encargos sociais).</v>
          </cell>
          <cell r="E332" t="str">
            <v>h</v>
          </cell>
          <cell r="F332">
            <v>15.91</v>
          </cell>
          <cell r="G332">
            <v>3009</v>
          </cell>
        </row>
        <row r="333">
          <cell r="B333" t="str">
            <v>AL05250450</v>
          </cell>
          <cell r="C333">
            <v>324</v>
          </cell>
          <cell r="D333" t="str">
            <v>Alvenaria de blocos de concreto (20x20x40)cm.</v>
          </cell>
          <cell r="E333" t="str">
            <v>m2</v>
          </cell>
          <cell r="F333">
            <v>32.409999999999997</v>
          </cell>
          <cell r="G333">
            <v>732.34</v>
          </cell>
        </row>
        <row r="334">
          <cell r="B334" t="str">
            <v>BP10250303</v>
          </cell>
          <cell r="C334">
            <v>325</v>
          </cell>
          <cell r="D334" t="str">
            <v>Pavimentacao com paralelepipedos, colchao de pó.</v>
          </cell>
          <cell r="E334" t="str">
            <v>m2</v>
          </cell>
          <cell r="F334">
            <v>34.6</v>
          </cell>
          <cell r="G334">
            <v>577.88</v>
          </cell>
        </row>
        <row r="335">
          <cell r="B335" t="str">
            <v>BP20100100</v>
          </cell>
          <cell r="C335">
            <v>326</v>
          </cell>
          <cell r="D335" t="str">
            <v>Meio-fio de concreto 13,5MPa mold no local, 0,15x0,30m.</v>
          </cell>
          <cell r="E335" t="str">
            <v>m</v>
          </cell>
          <cell r="F335">
            <v>23.38</v>
          </cell>
          <cell r="G335">
            <v>277.51</v>
          </cell>
        </row>
        <row r="336">
          <cell r="B336" t="str">
            <v>DR30200053</v>
          </cell>
          <cell r="C336">
            <v>327</v>
          </cell>
          <cell r="D336" t="str">
            <v>Caixa de inspecao para esgoto sanitario 0,75m de prof.</v>
          </cell>
          <cell r="E336" t="str">
            <v>un</v>
          </cell>
          <cell r="F336">
            <v>247.46</v>
          </cell>
          <cell r="G336">
            <v>79</v>
          </cell>
        </row>
        <row r="337">
          <cell r="B337" t="str">
            <v>DR35050050</v>
          </cell>
          <cell r="C337">
            <v>328</v>
          </cell>
          <cell r="D337" t="str">
            <v>Tampao de ferro fundido artic., de 30cm,RIOLUZ/CET-RIO.</v>
          </cell>
          <cell r="E337" t="str">
            <v xml:space="preserve">un  </v>
          </cell>
          <cell r="F337">
            <v>50.48</v>
          </cell>
          <cell r="G337">
            <v>199</v>
          </cell>
        </row>
        <row r="338">
          <cell r="B338" t="str">
            <v>DR35050053</v>
          </cell>
          <cell r="C338">
            <v>329</v>
          </cell>
          <cell r="D338" t="str">
            <v>Tampao de ferro fundido leve ø0,60m padrao RIOLUZ.</v>
          </cell>
          <cell r="E338" t="str">
            <v xml:space="preserve">un  </v>
          </cell>
          <cell r="F338">
            <v>206.59</v>
          </cell>
          <cell r="G338">
            <v>14</v>
          </cell>
        </row>
        <row r="339">
          <cell r="B339" t="str">
            <v>DR55050050</v>
          </cell>
          <cell r="C339">
            <v>330</v>
          </cell>
          <cell r="D339" t="str">
            <v>Camada horizontal de brita.</v>
          </cell>
          <cell r="E339" t="str">
            <v>m3</v>
          </cell>
          <cell r="F339">
            <v>41.32</v>
          </cell>
          <cell r="G339">
            <v>38.5</v>
          </cell>
        </row>
        <row r="340">
          <cell r="B340" t="str">
            <v>ET05600050</v>
          </cell>
          <cell r="C340">
            <v>331</v>
          </cell>
          <cell r="D340" t="str">
            <v>Concreto armado de 15MPa.</v>
          </cell>
          <cell r="E340" t="str">
            <v>m3</v>
          </cell>
          <cell r="F340">
            <v>700.29</v>
          </cell>
          <cell r="G340">
            <v>148.97999999999999</v>
          </cell>
        </row>
        <row r="341">
          <cell r="B341" t="str">
            <v>ET15200103</v>
          </cell>
          <cell r="C341">
            <v>332</v>
          </cell>
          <cell r="D341" t="str">
            <v>Formas de placas de Madeirit,17mm de espessura plast.</v>
          </cell>
          <cell r="E341" t="str">
            <v>m2</v>
          </cell>
          <cell r="F341">
            <v>47.48</v>
          </cell>
          <cell r="G341">
            <v>1739.95</v>
          </cell>
        </row>
        <row r="342">
          <cell r="B342" t="str">
            <v>ET20050050</v>
          </cell>
          <cell r="C342">
            <v>333</v>
          </cell>
          <cell r="D342" t="str">
            <v>Escoramento de pontilhoes,pontes,viadutos concreto armado.</v>
          </cell>
          <cell r="E342" t="str">
            <v>m3</v>
          </cell>
          <cell r="F342">
            <v>40.97</v>
          </cell>
          <cell r="G342">
            <v>2258.8000000000002</v>
          </cell>
        </row>
        <row r="343">
          <cell r="B343" t="str">
            <v>ET20300100</v>
          </cell>
          <cell r="C343">
            <v>334</v>
          </cell>
          <cell r="D343" t="str">
            <v xml:space="preserve">Escoramento de formas de 1,50m e ate 5m. </v>
          </cell>
          <cell r="E343" t="str">
            <v>m2</v>
          </cell>
          <cell r="F343">
            <v>17.66</v>
          </cell>
          <cell r="G343">
            <v>943.11</v>
          </cell>
        </row>
        <row r="344">
          <cell r="B344" t="str">
            <v>ET40050121</v>
          </cell>
          <cell r="C344">
            <v>335</v>
          </cell>
          <cell r="D344" t="str">
            <v>Tela de aco Telcon com malha de (10x10)cm.</v>
          </cell>
          <cell r="E344" t="str">
            <v>m2</v>
          </cell>
          <cell r="F344">
            <v>24.52</v>
          </cell>
          <cell r="G344">
            <v>1582.14</v>
          </cell>
        </row>
        <row r="345">
          <cell r="B345" t="str">
            <v>ET60050053</v>
          </cell>
          <cell r="C345">
            <v>336</v>
          </cell>
          <cell r="D345" t="str">
            <v>Concreto usinado 11MPa.</v>
          </cell>
          <cell r="E345" t="str">
            <v>m3</v>
          </cell>
          <cell r="F345">
            <v>166.68</v>
          </cell>
          <cell r="G345">
            <v>678.35</v>
          </cell>
        </row>
        <row r="346">
          <cell r="B346" t="str">
            <v>ET60050068</v>
          </cell>
          <cell r="C346">
            <v>337</v>
          </cell>
          <cell r="D346" t="str">
            <v>Concreto usinado 22,5MPa.</v>
          </cell>
          <cell r="E346" t="str">
            <v>m3</v>
          </cell>
          <cell r="F346">
            <v>209.87</v>
          </cell>
          <cell r="G346">
            <v>79.11</v>
          </cell>
        </row>
        <row r="347">
          <cell r="B347" t="str">
            <v>IP25100025</v>
          </cell>
          <cell r="C347">
            <v>338</v>
          </cell>
          <cell r="D347" t="str">
            <v>Caixa Hand-Hole, (0,30x0,30)m.</v>
          </cell>
          <cell r="E347" t="str">
            <v>un</v>
          </cell>
          <cell r="F347">
            <v>26.29</v>
          </cell>
          <cell r="G347">
            <v>227</v>
          </cell>
        </row>
        <row r="348">
          <cell r="B348" t="str">
            <v>IP25200050</v>
          </cell>
          <cell r="C348">
            <v>339</v>
          </cell>
          <cell r="D348" t="str">
            <v>Tampao de ferro tipo leve padrao RIOLUZ.</v>
          </cell>
          <cell r="E348" t="str">
            <v>un</v>
          </cell>
          <cell r="F348">
            <v>188.93</v>
          </cell>
          <cell r="G348">
            <v>100</v>
          </cell>
        </row>
        <row r="349">
          <cell r="B349" t="str">
            <v>IP55150100</v>
          </cell>
          <cell r="C349">
            <v>340</v>
          </cell>
          <cell r="D349" t="str">
            <v>Chumbador para fixacao de poste de aco.</v>
          </cell>
          <cell r="E349" t="str">
            <v>un</v>
          </cell>
          <cell r="F349">
            <v>27.89</v>
          </cell>
          <cell r="G349">
            <v>1304</v>
          </cell>
        </row>
        <row r="350">
          <cell r="B350" t="str">
            <v>IT10400050</v>
          </cell>
          <cell r="C350">
            <v>341</v>
          </cell>
          <cell r="D350" t="str">
            <v>Ligacao domiciliar de agua.</v>
          </cell>
          <cell r="E350" t="str">
            <v>un</v>
          </cell>
          <cell r="F350">
            <v>96.69</v>
          </cell>
          <cell r="G350">
            <v>67</v>
          </cell>
        </row>
        <row r="351">
          <cell r="B351" t="str">
            <v>IT15600100</v>
          </cell>
          <cell r="C351">
            <v>342</v>
          </cell>
          <cell r="D351" t="str">
            <v>Ligacao de esgoto sanitario, em manilha de 100mm.</v>
          </cell>
          <cell r="E351" t="str">
            <v>un</v>
          </cell>
          <cell r="F351">
            <v>344.53</v>
          </cell>
          <cell r="G351">
            <v>79</v>
          </cell>
        </row>
        <row r="352">
          <cell r="B352" t="str">
            <v>MT05050100</v>
          </cell>
          <cell r="C352">
            <v>343</v>
          </cell>
          <cell r="D352" t="str">
            <v>Escavacao manual de vala, 1,50m e 3m de profundidade.</v>
          </cell>
          <cell r="E352" t="str">
            <v>m3</v>
          </cell>
          <cell r="F352">
            <v>19.93</v>
          </cell>
          <cell r="G352">
            <v>1092</v>
          </cell>
        </row>
        <row r="353">
          <cell r="B353" t="str">
            <v>MT05100100</v>
          </cell>
          <cell r="C353">
            <v>344</v>
          </cell>
          <cell r="D353" t="str">
            <v>Escavacao manual de vala a frio.</v>
          </cell>
          <cell r="E353" t="str">
            <v>m3</v>
          </cell>
          <cell r="F353">
            <v>22.26</v>
          </cell>
          <cell r="G353">
            <v>3071.18</v>
          </cell>
        </row>
        <row r="354">
          <cell r="B354" t="str">
            <v>MT05150050</v>
          </cell>
          <cell r="C354">
            <v>345</v>
          </cell>
          <cell r="D354" t="str">
            <v>Escavacao manual de vala em lodo, ate 1,50m.</v>
          </cell>
          <cell r="E354" t="str">
            <v>m3</v>
          </cell>
          <cell r="F354">
            <v>24.36</v>
          </cell>
          <cell r="G354">
            <v>1395.9</v>
          </cell>
        </row>
        <row r="355">
          <cell r="B355" t="str">
            <v>PJ25250050</v>
          </cell>
          <cell r="C355">
            <v>346</v>
          </cell>
          <cell r="D355" t="str">
            <v>Balizador modelo Copacabana, cilindrico, liso, pre-fabricado.</v>
          </cell>
          <cell r="E355" t="str">
            <v>un</v>
          </cell>
          <cell r="F355">
            <v>98.43</v>
          </cell>
          <cell r="G355">
            <v>419</v>
          </cell>
        </row>
        <row r="356">
          <cell r="B356" t="str">
            <v>RV10050215</v>
          </cell>
          <cell r="C356">
            <v>347</v>
          </cell>
          <cell r="D356" t="str">
            <v>Revestimento externo, de 1 vez.</v>
          </cell>
          <cell r="E356" t="str">
            <v>m2</v>
          </cell>
          <cell r="F356">
            <v>17.29</v>
          </cell>
          <cell r="G356">
            <v>501.79</v>
          </cell>
        </row>
        <row r="357">
          <cell r="B357" t="str">
            <v>SC35050100</v>
          </cell>
          <cell r="C357">
            <v>348</v>
          </cell>
          <cell r="D357" t="str">
            <v>Levantamento ou rebaixamento de tampao, calçada.</v>
          </cell>
          <cell r="E357" t="str">
            <v>un</v>
          </cell>
          <cell r="F357">
            <v>75.849999999999994</v>
          </cell>
          <cell r="G357">
            <v>121</v>
          </cell>
        </row>
        <row r="358">
          <cell r="B358" t="str">
            <v>SE20100253</v>
          </cell>
          <cell r="C358">
            <v>349</v>
          </cell>
          <cell r="D358" t="str">
            <v>Levantamento topografico planialtimetrico e cadastral.</v>
          </cell>
          <cell r="E358" t="str">
            <v>ha</v>
          </cell>
          <cell r="F358">
            <v>2252.4299999999998</v>
          </cell>
          <cell r="G358">
            <v>5.18</v>
          </cell>
        </row>
        <row r="359">
          <cell r="B359" t="str">
            <v>SE25900300</v>
          </cell>
          <cell r="C359">
            <v>350</v>
          </cell>
          <cell r="D359" t="str">
            <v>Servicos de elaboracao de projeto estrutural final de eng.</v>
          </cell>
          <cell r="E359" t="str">
            <v>m2</v>
          </cell>
          <cell r="F359">
            <v>37.130000000000003</v>
          </cell>
          <cell r="G359">
            <v>1149</v>
          </cell>
        </row>
        <row r="360">
          <cell r="B360" t="str">
            <v>ST45150100</v>
          </cell>
          <cell r="C360">
            <v>351</v>
          </cell>
          <cell r="D360" t="str">
            <v>Caixa com tampa de ferro leve 600L-900mm,CET-RIO.</v>
          </cell>
          <cell r="E360" t="str">
            <v xml:space="preserve">un  </v>
          </cell>
          <cell r="F360">
            <v>295.7</v>
          </cell>
          <cell r="G360">
            <v>41</v>
          </cell>
        </row>
        <row r="361">
          <cell r="B361" t="str">
            <v>TC05100050</v>
          </cell>
          <cell r="C361">
            <v>352</v>
          </cell>
          <cell r="D361" t="str">
            <v>Transporte horizontal material em carrinho de mao.</v>
          </cell>
          <cell r="E361" t="str">
            <v>t.dam</v>
          </cell>
          <cell r="F361">
            <v>1.19</v>
          </cell>
          <cell r="G361">
            <v>103434.34</v>
          </cell>
        </row>
        <row r="362">
          <cell r="B362" t="str">
            <v>TC10050350</v>
          </cell>
          <cell r="C362">
            <v>353</v>
          </cell>
          <cell r="D362" t="str">
            <v>Carga e descarga mecanica, com Pa-Carregadeira.</v>
          </cell>
          <cell r="E362" t="str">
            <v xml:space="preserve">t </v>
          </cell>
          <cell r="F362">
            <v>0.51</v>
          </cell>
          <cell r="G362">
            <v>43094.67</v>
          </cell>
        </row>
        <row r="363">
          <cell r="B363" t="str">
            <v>UNI</v>
          </cell>
          <cell r="C363" t="str">
            <v>N1</v>
          </cell>
          <cell r="D363" t="str">
            <v>Tampa light 80x80cm</v>
          </cell>
          <cell r="E363" t="str">
            <v>un</v>
          </cell>
          <cell r="F363">
            <v>259.04000000000002</v>
          </cell>
        </row>
        <row r="365">
          <cell r="B365" t="str">
            <v>ITENS FGV</v>
          </cell>
        </row>
        <row r="366">
          <cell r="B366" t="str">
            <v>BP10050653</v>
          </cell>
          <cell r="C366" t="str">
            <v>F1</v>
          </cell>
          <cell r="D366" t="str">
            <v>Revestimento de CBUQ, com 5cm de espessura.</v>
          </cell>
          <cell r="E366" t="str">
            <v>m2</v>
          </cell>
          <cell r="F366">
            <v>12.77</v>
          </cell>
        </row>
        <row r="367">
          <cell r="B367" t="str">
            <v>BP20200053</v>
          </cell>
          <cell r="C367" t="str">
            <v>F2</v>
          </cell>
          <cell r="D367" t="str">
            <v>Meio-fio de concreto pre-moldado altura de 0,45m.</v>
          </cell>
          <cell r="E367" t="str">
            <v>m</v>
          </cell>
          <cell r="F367">
            <v>21.71</v>
          </cell>
        </row>
        <row r="368">
          <cell r="B368" t="str">
            <v>CE05050050</v>
          </cell>
          <cell r="C368" t="str">
            <v>F3</v>
          </cell>
          <cell r="D368" t="str">
            <v>Prestacao de servicos de engenharia.</v>
          </cell>
          <cell r="E368" t="str">
            <v>hh</v>
          </cell>
          <cell r="F368">
            <v>39.4</v>
          </cell>
        </row>
        <row r="369">
          <cell r="B369" t="str">
            <v>DR30200050</v>
          </cell>
          <cell r="C369" t="str">
            <v>F4</v>
          </cell>
          <cell r="D369" t="str">
            <v>Caixa de inspecao de esgoto, 0,70m de profundidade.</v>
          </cell>
          <cell r="E369" t="str">
            <v>un</v>
          </cell>
          <cell r="F369">
            <v>245.86</v>
          </cell>
        </row>
        <row r="370">
          <cell r="B370" t="str">
            <v>EQ45050150</v>
          </cell>
          <cell r="C370" t="str">
            <v>F5</v>
          </cell>
          <cell r="D370" t="str">
            <v>Compressor de ar. Aluguel produtivo.</v>
          </cell>
          <cell r="E370" t="str">
            <v>h</v>
          </cell>
          <cell r="F370">
            <v>26.28</v>
          </cell>
        </row>
        <row r="371">
          <cell r="B371" t="str">
            <v>ET60050100</v>
          </cell>
          <cell r="C371" t="str">
            <v>F6</v>
          </cell>
          <cell r="D371" t="str">
            <v>Concreto usinado 40Mpa.</v>
          </cell>
          <cell r="E371" t="str">
            <v>m3</v>
          </cell>
          <cell r="F371">
            <v>274.33999999999997</v>
          </cell>
        </row>
        <row r="372">
          <cell r="B372" t="str">
            <v>IP05100400</v>
          </cell>
          <cell r="C372" t="str">
            <v>F7</v>
          </cell>
          <cell r="D372" t="str">
            <v>Poste Multi-Uso de aco, reto, cilindrico de 5,60m.</v>
          </cell>
          <cell r="E372" t="str">
            <v>par</v>
          </cell>
          <cell r="F372">
            <v>1366</v>
          </cell>
        </row>
        <row r="373">
          <cell r="B373" t="str">
            <v>IP05100850</v>
          </cell>
          <cell r="C373" t="str">
            <v>F8</v>
          </cell>
          <cell r="D373" t="str">
            <v>Poste Multi-Uso de aco, reto, cilindrico de 9,5m.</v>
          </cell>
          <cell r="E373" t="str">
            <v>un</v>
          </cell>
          <cell r="F373">
            <v>2656.14</v>
          </cell>
        </row>
        <row r="374">
          <cell r="B374" t="str">
            <v>IP05250150</v>
          </cell>
          <cell r="C374" t="str">
            <v>F9</v>
          </cell>
          <cell r="D374" t="str">
            <v>Poste de aco, reto, de 4,50m ate 6m. Assentamento.</v>
          </cell>
          <cell r="E374" t="str">
            <v>un</v>
          </cell>
          <cell r="F374">
            <v>53.59</v>
          </cell>
        </row>
        <row r="375">
          <cell r="B375" t="str">
            <v>IP05250200</v>
          </cell>
          <cell r="C375" t="str">
            <v>F10</v>
          </cell>
          <cell r="D375" t="str">
            <v>Poste de aco, reto, de 7m ate 12m. Assentamento.</v>
          </cell>
          <cell r="E375" t="str">
            <v>un</v>
          </cell>
          <cell r="F375">
            <v>108.83</v>
          </cell>
        </row>
        <row r="376">
          <cell r="B376" t="str">
            <v>IP05500050</v>
          </cell>
          <cell r="C376" t="str">
            <v>F11</v>
          </cell>
          <cell r="D376" t="str">
            <v>Braco para luminaria de 0,39m.</v>
          </cell>
          <cell r="E376" t="str">
            <v>par</v>
          </cell>
          <cell r="F376">
            <v>63</v>
          </cell>
        </row>
        <row r="377">
          <cell r="B377" t="str">
            <v>IP05500250</v>
          </cell>
          <cell r="C377" t="str">
            <v>F12</v>
          </cell>
          <cell r="D377" t="str">
            <v>Braco para luminaria de 1,35m.</v>
          </cell>
          <cell r="E377" t="str">
            <v>par</v>
          </cell>
          <cell r="F377">
            <v>115</v>
          </cell>
        </row>
        <row r="378">
          <cell r="B378" t="str">
            <v>IP05550050</v>
          </cell>
          <cell r="C378" t="str">
            <v>F13</v>
          </cell>
          <cell r="D378" t="str">
            <v>Braco, padrao RIOLUZ.  Colocacao.</v>
          </cell>
          <cell r="E378" t="str">
            <v>un</v>
          </cell>
          <cell r="F378">
            <v>9.76</v>
          </cell>
        </row>
        <row r="379">
          <cell r="B379" t="str">
            <v>IP05600050</v>
          </cell>
          <cell r="C379" t="str">
            <v>F14</v>
          </cell>
          <cell r="D379" t="str">
            <v>Pintura de braco com 2 demaos de tinta Aluminac.</v>
          </cell>
          <cell r="E379" t="str">
            <v>un</v>
          </cell>
          <cell r="F379">
            <v>12.29</v>
          </cell>
        </row>
        <row r="380">
          <cell r="B380" t="str">
            <v>IP05600103</v>
          </cell>
          <cell r="C380" t="str">
            <v>F15</v>
          </cell>
          <cell r="D380" t="str">
            <v>Pintura de poste de aco, reto, de 4,5m ate 6m.</v>
          </cell>
          <cell r="E380" t="str">
            <v>un</v>
          </cell>
          <cell r="F380">
            <v>14.73</v>
          </cell>
        </row>
        <row r="381">
          <cell r="B381" t="str">
            <v>IP05600109</v>
          </cell>
          <cell r="C381" t="str">
            <v>F16</v>
          </cell>
          <cell r="D381" t="str">
            <v>Pintura de poste de aco reto, de 10m ate 15m.</v>
          </cell>
          <cell r="E381" t="str">
            <v>un</v>
          </cell>
          <cell r="F381">
            <v>54.04</v>
          </cell>
        </row>
        <row r="382">
          <cell r="B382" t="str">
            <v>IP45050250</v>
          </cell>
          <cell r="C382" t="str">
            <v>F17</v>
          </cell>
          <cell r="D382" t="str">
            <v>Rele fotoeletrico, tipo NA, tensao de 127V, 1200VA.</v>
          </cell>
          <cell r="E382" t="str">
            <v>un</v>
          </cell>
          <cell r="F382">
            <v>11.85</v>
          </cell>
        </row>
        <row r="383">
          <cell r="B383" t="str">
            <v>IP50050059</v>
          </cell>
          <cell r="C383" t="str">
            <v>F18</v>
          </cell>
          <cell r="D383" t="str">
            <v>Luminaria LRJ-25 para lampada de 70W ovoide.</v>
          </cell>
          <cell r="E383" t="str">
            <v>un</v>
          </cell>
          <cell r="F383">
            <v>305.18</v>
          </cell>
        </row>
        <row r="384">
          <cell r="B384" t="str">
            <v>IP50050250</v>
          </cell>
          <cell r="C384" t="str">
            <v>F19</v>
          </cell>
          <cell r="D384" t="str">
            <v>Luminaria LRJ-24 para lampada de 250W tubular.</v>
          </cell>
          <cell r="E384" t="str">
            <v>un</v>
          </cell>
          <cell r="F384">
            <v>361.15</v>
          </cell>
        </row>
        <row r="385">
          <cell r="B385" t="str">
            <v>IP50200106</v>
          </cell>
          <cell r="C385" t="str">
            <v>F20</v>
          </cell>
          <cell r="D385" t="str">
            <v>Nucleo simples para luminarias LRJ-09/16/25.</v>
          </cell>
          <cell r="E385" t="str">
            <v>un</v>
          </cell>
          <cell r="F385">
            <v>40</v>
          </cell>
        </row>
        <row r="386">
          <cell r="B386" t="str">
            <v>IP50200150</v>
          </cell>
          <cell r="C386" t="str">
            <v>F21</v>
          </cell>
          <cell r="D386" t="str">
            <v>Nucleo duplo para luminarias LRJ-01/17/23/24/30/31.</v>
          </cell>
          <cell r="E386" t="str">
            <v>un</v>
          </cell>
          <cell r="F386">
            <v>67</v>
          </cell>
        </row>
        <row r="387">
          <cell r="B387" t="str">
            <v>IP50250421</v>
          </cell>
          <cell r="C387" t="str">
            <v>F22</v>
          </cell>
          <cell r="D387" t="str">
            <v>Lampada de multivapor metalica (MVM) de 250W.</v>
          </cell>
          <cell r="E387" t="str">
            <v>un</v>
          </cell>
          <cell r="F387">
            <v>83.9</v>
          </cell>
        </row>
        <row r="388">
          <cell r="B388" t="str">
            <v>IP50400103</v>
          </cell>
          <cell r="C388" t="str">
            <v>F23</v>
          </cell>
          <cell r="D388" t="str">
            <v>Luminaria fechada com lampada de descarga.</v>
          </cell>
          <cell r="E388" t="str">
            <v>un</v>
          </cell>
          <cell r="F388">
            <v>9.76</v>
          </cell>
        </row>
        <row r="389">
          <cell r="B389" t="str">
            <v>IT25100121</v>
          </cell>
          <cell r="C389" t="str">
            <v>F24</v>
          </cell>
          <cell r="D389" t="str">
            <v>Kanalex diametro de 125mm (5" ).</v>
          </cell>
          <cell r="E389" t="str">
            <v>m</v>
          </cell>
          <cell r="F389">
            <v>10.89</v>
          </cell>
        </row>
        <row r="390">
          <cell r="B390" t="str">
            <v>RV1595005</v>
          </cell>
          <cell r="C390" t="str">
            <v>F25</v>
          </cell>
          <cell r="D390" t="str">
            <v>Piso de alerta em placas marmorizadas, cor vermelha.</v>
          </cell>
          <cell r="E390" t="str">
            <v>m2</v>
          </cell>
          <cell r="F390">
            <v>55.17</v>
          </cell>
        </row>
        <row r="391">
          <cell r="B391" t="str">
            <v>SC05100350</v>
          </cell>
          <cell r="C391" t="str">
            <v>F26</v>
          </cell>
          <cell r="D391" t="str">
            <v>Demolicao com equipamento concreto asfaltico 5cm.</v>
          </cell>
          <cell r="E391" t="str">
            <v>m2</v>
          </cell>
          <cell r="F391">
            <v>5.0999999999999996</v>
          </cell>
        </row>
        <row r="392">
          <cell r="B392" t="str">
            <v>SC05100400</v>
          </cell>
          <cell r="C392" t="str">
            <v>F27</v>
          </cell>
          <cell r="D392" t="str">
            <v>Demolicao com equipamento concreto asfaltico 10cm.</v>
          </cell>
          <cell r="E392" t="str">
            <v>m2</v>
          </cell>
          <cell r="F392">
            <v>7.64</v>
          </cell>
        </row>
        <row r="393">
          <cell r="B393" t="str">
            <v>SC05100450</v>
          </cell>
          <cell r="C393" t="str">
            <v>F28</v>
          </cell>
          <cell r="D393" t="str">
            <v>Demolicao equipamento concreto asfaltico 5cm l=1,20m.</v>
          </cell>
          <cell r="E393" t="str">
            <v>m2</v>
          </cell>
          <cell r="F393">
            <v>5.99</v>
          </cell>
        </row>
        <row r="394">
          <cell r="B394" t="str">
            <v>SC10100100</v>
          </cell>
          <cell r="C394" t="str">
            <v>F29</v>
          </cell>
          <cell r="D394" t="str">
            <v>Operador de trafego, nivel junior.</v>
          </cell>
          <cell r="E394" t="str">
            <v>h</v>
          </cell>
          <cell r="F394">
            <v>10.1</v>
          </cell>
        </row>
        <row r="395">
          <cell r="B395" t="str">
            <v>ST05051050</v>
          </cell>
          <cell r="C395" t="str">
            <v>F30</v>
          </cell>
          <cell r="D395" t="str">
            <v>Sinalizacao horizontal aplicada por aspersao.</v>
          </cell>
          <cell r="E395" t="str">
            <v>m2</v>
          </cell>
          <cell r="F395">
            <v>20.149999999999999</v>
          </cell>
        </row>
        <row r="396">
          <cell r="B396" t="str">
            <v>ST10150350</v>
          </cell>
          <cell r="C396" t="str">
            <v>F31</v>
          </cell>
          <cell r="D396" t="str">
            <v>Conjunto semaforico principal.</v>
          </cell>
          <cell r="E396" t="str">
            <v>un</v>
          </cell>
          <cell r="F396">
            <v>4662</v>
          </cell>
        </row>
        <row r="397">
          <cell r="B397" t="str">
            <v>ST10150400</v>
          </cell>
          <cell r="C397" t="str">
            <v>F32</v>
          </cell>
          <cell r="D397" t="str">
            <v>Conjunto semaforico repetidor.</v>
          </cell>
          <cell r="E397" t="str">
            <v>un</v>
          </cell>
          <cell r="F397">
            <v>2243.85</v>
          </cell>
        </row>
        <row r="398">
          <cell r="B398" t="str">
            <v>ST20100050</v>
          </cell>
          <cell r="C398" t="str">
            <v>F33</v>
          </cell>
          <cell r="D398" t="str">
            <v>Aluguel mensal de radio transmissor-receptor.</v>
          </cell>
          <cell r="E398" t="str">
            <v>mes</v>
          </cell>
          <cell r="F398">
            <v>70</v>
          </cell>
        </row>
        <row r="399">
          <cell r="B399" t="str">
            <v>ST15050100</v>
          </cell>
          <cell r="C399" t="str">
            <v>F34</v>
          </cell>
          <cell r="D399" t="str">
            <v>Portico, coluna tubular, em aco galvanizado.</v>
          </cell>
          <cell r="E399" t="str">
            <v>un</v>
          </cell>
          <cell r="F399">
            <v>35622.78</v>
          </cell>
        </row>
        <row r="400">
          <cell r="B400" t="str">
            <v>TC10050050</v>
          </cell>
          <cell r="C400" t="str">
            <v>F35</v>
          </cell>
          <cell r="D400" t="str">
            <v>Carga e descarga manual de material.</v>
          </cell>
          <cell r="E400" t="str">
            <v>t</v>
          </cell>
          <cell r="F400">
            <v>20.36</v>
          </cell>
        </row>
        <row r="401">
          <cell r="B401" t="str">
            <v>DR10050053</v>
          </cell>
          <cell r="C401" t="str">
            <v>F36</v>
          </cell>
          <cell r="D401" t="str">
            <v>Tubo de ferro fundido, ductil, classe K-9,ø 100mm.</v>
          </cell>
          <cell r="E401" t="str">
            <v>m</v>
          </cell>
          <cell r="F401">
            <v>139.33000000000001</v>
          </cell>
        </row>
        <row r="402">
          <cell r="B402" t="str">
            <v>ST05051800</v>
          </cell>
          <cell r="C402" t="str">
            <v>F37</v>
          </cell>
          <cell r="D402" t="str">
            <v>Tachao bidirecional, conforme especificacao CET-RIO.  Fornecimento.</v>
          </cell>
          <cell r="E402" t="str">
            <v>un</v>
          </cell>
          <cell r="F402">
            <v>21.9</v>
          </cell>
        </row>
        <row r="403">
          <cell r="B403" t="str">
            <v>IP50050253</v>
          </cell>
          <cell r="C403" t="str">
            <v>F38</v>
          </cell>
          <cell r="D403" t="str">
            <v>Luminaria LRJ-33 para lampada vapor de sodio ou multivapor metalico de 250W, IP-66, vidro curvo, corpo em aluminio injetado, para encaixe em tubo com diametro de 60,3mm, com equipamento auxiliar integrado (EM-RIOLUZ no 30), refletor em chapa de aluminio 9</v>
          </cell>
          <cell r="E403" t="str">
            <v>un</v>
          </cell>
          <cell r="F403">
            <v>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NT"/>
      <sheetName val="RESUMO"/>
      <sheetName val="ACA - 01"/>
      <sheetName val="ACA - 02"/>
      <sheetName val="ACA - 03"/>
      <sheetName val="ACA - 04"/>
      <sheetName val="ACA - 04b"/>
      <sheetName val="ACA - 05"/>
      <sheetName val="ACA - 06"/>
      <sheetName val="ACA - 07"/>
      <sheetName val="ACA - 08"/>
      <sheetName val="ACA - 08b"/>
      <sheetName val="ACA - 09"/>
    </sheetNames>
    <sheetDataSet>
      <sheetData sheetId="0">
        <row r="5">
          <cell r="B5" t="str">
            <v>CÓDIGO</v>
          </cell>
          <cell r="C5" t="str">
            <v>ITEM</v>
          </cell>
          <cell r="D5" t="str">
            <v>DESCRIÇÃO DO INSUMO</v>
          </cell>
          <cell r="E5" t="str">
            <v>UNID.</v>
          </cell>
          <cell r="F5" t="str">
            <v>PÇO. UNIT.</v>
          </cell>
          <cell r="G5" t="str">
            <v>QTDE. CONTRATO</v>
          </cell>
        </row>
        <row r="6">
          <cell r="B6" t="str">
            <v>AD05050100</v>
          </cell>
          <cell r="C6">
            <v>1</v>
          </cell>
          <cell r="D6" t="str">
            <v>Ensaio de andensamento edométrico em solo.</v>
          </cell>
          <cell r="E6" t="str">
            <v>un</v>
          </cell>
          <cell r="F6">
            <v>509.17</v>
          </cell>
          <cell r="G6">
            <v>44</v>
          </cell>
        </row>
        <row r="7">
          <cell r="B7" t="str">
            <v>AD05050200</v>
          </cell>
          <cell r="C7">
            <v>2</v>
          </cell>
          <cell r="D7" t="str">
            <v>Ensaio de laboratorio da Densidade Real.</v>
          </cell>
          <cell r="E7" t="str">
            <v>un</v>
          </cell>
          <cell r="F7">
            <v>56.78</v>
          </cell>
          <cell r="G7">
            <v>29</v>
          </cell>
        </row>
        <row r="8">
          <cell r="B8" t="str">
            <v>AD05050250</v>
          </cell>
          <cell r="C8">
            <v>3</v>
          </cell>
          <cell r="D8" t="str">
            <v>Ensaio em laboratorio do Limite de Liquidez.</v>
          </cell>
          <cell r="E8" t="str">
            <v>un</v>
          </cell>
          <cell r="F8">
            <v>41.29</v>
          </cell>
          <cell r="G8">
            <v>14</v>
          </cell>
        </row>
        <row r="9">
          <cell r="B9" t="str">
            <v>AD05050300</v>
          </cell>
          <cell r="C9">
            <v>4</v>
          </cell>
          <cell r="D9" t="str">
            <v xml:space="preserve">Ensaio em laboratório do limite de plasticidade. </v>
          </cell>
          <cell r="E9" t="str">
            <v>un</v>
          </cell>
          <cell r="F9">
            <v>41.29</v>
          </cell>
          <cell r="G9">
            <v>14</v>
          </cell>
        </row>
        <row r="10">
          <cell r="B10" t="str">
            <v>AD05050350</v>
          </cell>
          <cell r="C10">
            <v>5</v>
          </cell>
          <cell r="D10" t="str">
            <v>Ensaio em laboratório, do Peso Especifico.</v>
          </cell>
          <cell r="E10" t="str">
            <v>un</v>
          </cell>
          <cell r="F10">
            <v>22.86</v>
          </cell>
          <cell r="G10">
            <v>29</v>
          </cell>
        </row>
        <row r="11">
          <cell r="B11" t="str">
            <v>AD05050450</v>
          </cell>
          <cell r="C11">
            <v>6</v>
          </cell>
          <cell r="D11" t="str">
            <v>Ensaio Índice de Suporte Califórnia - Proctor Normal.</v>
          </cell>
          <cell r="E11" t="str">
            <v>un</v>
          </cell>
          <cell r="F11">
            <v>414.42</v>
          </cell>
          <cell r="G11">
            <v>43</v>
          </cell>
        </row>
        <row r="12">
          <cell r="B12" t="str">
            <v>AD05050700</v>
          </cell>
          <cell r="C12">
            <v>7</v>
          </cell>
          <cell r="D12" t="str">
            <v>Sondagem manual com pa e picareta por metro.</v>
          </cell>
          <cell r="E12" t="str">
            <v>m</v>
          </cell>
          <cell r="F12">
            <v>56.78</v>
          </cell>
          <cell r="G12">
            <v>280</v>
          </cell>
        </row>
        <row r="13">
          <cell r="B13" t="str">
            <v>AD20050050</v>
          </cell>
          <cell r="C13">
            <v>8</v>
          </cell>
          <cell r="D13" t="str">
            <v>Barracão de obra com paredes de madeira.</v>
          </cell>
          <cell r="E13" t="str">
            <v>m2</v>
          </cell>
          <cell r="F13">
            <v>141.75</v>
          </cell>
          <cell r="G13">
            <v>250</v>
          </cell>
        </row>
        <row r="14">
          <cell r="B14" t="str">
            <v>AD20050300</v>
          </cell>
          <cell r="C14">
            <v>9</v>
          </cell>
          <cell r="D14" t="str">
            <v>Tapume de vedação ou proteção.</v>
          </cell>
          <cell r="E14" t="str">
            <v>m2</v>
          </cell>
          <cell r="F14">
            <v>19.16</v>
          </cell>
          <cell r="G14">
            <v>24000</v>
          </cell>
        </row>
        <row r="15">
          <cell r="B15" t="str">
            <v>AD20200050</v>
          </cell>
          <cell r="C15">
            <v>10</v>
          </cell>
          <cell r="D15" t="str">
            <v>Instalação e ligação provisórias de energia.</v>
          </cell>
          <cell r="E15" t="str">
            <v>un</v>
          </cell>
          <cell r="F15">
            <v>595.94000000000005</v>
          </cell>
          <cell r="G15">
            <v>2</v>
          </cell>
        </row>
        <row r="16">
          <cell r="B16" t="str">
            <v xml:space="preserve">AD40050056 </v>
          </cell>
          <cell r="C16">
            <v>11</v>
          </cell>
          <cell r="D16" t="str">
            <v xml:space="preserve">Almoxarife(inclusive encargos sociais). </v>
          </cell>
          <cell r="E16" t="str">
            <v>h</v>
          </cell>
          <cell r="F16">
            <v>6.48</v>
          </cell>
          <cell r="G16">
            <v>1480</v>
          </cell>
        </row>
        <row r="17">
          <cell r="B17" t="str">
            <v>AD40050068</v>
          </cell>
          <cell r="C17">
            <v>12</v>
          </cell>
          <cell r="D17" t="str">
            <v>Apontador(inclusive encargos sociais).</v>
          </cell>
          <cell r="E17" t="str">
            <v>h</v>
          </cell>
          <cell r="F17">
            <v>6.48</v>
          </cell>
          <cell r="G17">
            <v>1480</v>
          </cell>
        </row>
        <row r="18">
          <cell r="B18" t="str">
            <v>AD40050074</v>
          </cell>
          <cell r="C18">
            <v>13</v>
          </cell>
          <cell r="D18" t="str">
            <v>Auxiliar de almoxarife(inclusive encargos sociais).</v>
          </cell>
          <cell r="E18" t="str">
            <v>h</v>
          </cell>
          <cell r="F18">
            <v>4.41</v>
          </cell>
          <cell r="G18">
            <v>1480</v>
          </cell>
        </row>
        <row r="19">
          <cell r="B19" t="str">
            <v>AD40050080</v>
          </cell>
          <cell r="C19">
            <v>14</v>
          </cell>
          <cell r="D19" t="str">
            <v>Auxiliar de escritório(inclusive encargos sociais).</v>
          </cell>
          <cell r="E19" t="str">
            <v>h</v>
          </cell>
          <cell r="F19">
            <v>5.32</v>
          </cell>
          <cell r="G19">
            <v>1480</v>
          </cell>
        </row>
        <row r="20">
          <cell r="B20" t="str">
            <v>AD40050086</v>
          </cell>
          <cell r="C20">
            <v>15</v>
          </cell>
          <cell r="D20" t="str">
            <v>Auxiliar técnico(inclusive encargos sociais).</v>
          </cell>
          <cell r="E20" t="str">
            <v>h</v>
          </cell>
          <cell r="F20">
            <v>8.1</v>
          </cell>
          <cell r="G20">
            <v>1480</v>
          </cell>
        </row>
        <row r="21">
          <cell r="B21" t="str">
            <v>AD40050092</v>
          </cell>
          <cell r="C21">
            <v>16</v>
          </cell>
          <cell r="D21" t="str">
            <v xml:space="preserve">Auxiliar de topografia(inclusive encargos sociais).     </v>
          </cell>
          <cell r="E21" t="str">
            <v>h</v>
          </cell>
          <cell r="F21">
            <v>4.5</v>
          </cell>
          <cell r="G21">
            <v>1480</v>
          </cell>
        </row>
        <row r="22">
          <cell r="B22" t="str">
            <v>AD40050098</v>
          </cell>
          <cell r="C22">
            <v>17</v>
          </cell>
          <cell r="D22" t="str">
            <v xml:space="preserve">Chefe de escritório(inclusive encargos sociais). </v>
          </cell>
          <cell r="E22" t="str">
            <v>h</v>
          </cell>
          <cell r="F22">
            <v>13.02</v>
          </cell>
          <cell r="G22">
            <v>1480</v>
          </cell>
        </row>
        <row r="23">
          <cell r="B23" t="str">
            <v>AD40050116</v>
          </cell>
          <cell r="C23">
            <v>18</v>
          </cell>
          <cell r="D23" t="str">
            <v>Encarregado(inclusive encargos sociais).</v>
          </cell>
          <cell r="E23" t="str">
            <v>h</v>
          </cell>
          <cell r="F23">
            <v>8.3699999999999992</v>
          </cell>
          <cell r="G23">
            <v>2960</v>
          </cell>
        </row>
        <row r="24">
          <cell r="B24" t="str">
            <v xml:space="preserve"> AD40050122</v>
          </cell>
          <cell r="C24">
            <v>19</v>
          </cell>
          <cell r="D24" t="str">
            <v>Engenheiro ou arquiteto jr(inclusive encargos sociais).</v>
          </cell>
          <cell r="E24" t="str">
            <v>h</v>
          </cell>
          <cell r="F24">
            <v>21.39</v>
          </cell>
          <cell r="G24">
            <v>1480</v>
          </cell>
        </row>
        <row r="25">
          <cell r="B25" t="str">
            <v>AD40050134</v>
          </cell>
          <cell r="C25">
            <v>20</v>
          </cell>
          <cell r="D25" t="str">
            <v xml:space="preserve">Engenheiro sênior(inclusive encargos sociais).  </v>
          </cell>
          <cell r="E25" t="str">
            <v>h</v>
          </cell>
          <cell r="F25">
            <v>54.35</v>
          </cell>
          <cell r="G25">
            <v>1110</v>
          </cell>
        </row>
        <row r="26">
          <cell r="B26" t="str">
            <v>AD40050146</v>
          </cell>
          <cell r="C26">
            <v>21</v>
          </cell>
          <cell r="D26" t="str">
            <v xml:space="preserve">Estagiário(inclusive encargos sociais).  </v>
          </cell>
          <cell r="E26" t="str">
            <v>h</v>
          </cell>
          <cell r="F26">
            <v>2.76</v>
          </cell>
          <cell r="G26">
            <v>2960</v>
          </cell>
        </row>
        <row r="27">
          <cell r="B27" t="str">
            <v>AD40050188</v>
          </cell>
          <cell r="C27">
            <v>22</v>
          </cell>
          <cell r="D27" t="str">
            <v>Secretaria(inclusive encargos sociais).</v>
          </cell>
          <cell r="E27" t="str">
            <v>h</v>
          </cell>
          <cell r="F27">
            <v>9.24</v>
          </cell>
          <cell r="G27">
            <v>1480</v>
          </cell>
        </row>
        <row r="28">
          <cell r="B28" t="str">
            <v>AD40050200</v>
          </cell>
          <cell r="C28">
            <v>23</v>
          </cell>
          <cell r="D28" t="str">
            <v xml:space="preserve">Supervisor de trafego(inclusive encargos sociais).    </v>
          </cell>
          <cell r="E28" t="str">
            <v>h</v>
          </cell>
          <cell r="F28">
            <v>29.17</v>
          </cell>
          <cell r="G28">
            <v>2960</v>
          </cell>
        </row>
        <row r="29">
          <cell r="B29" t="str">
            <v>AD40050212</v>
          </cell>
          <cell r="C29">
            <v>24</v>
          </cell>
          <cell r="D29" t="str">
            <v xml:space="preserve">Topógrafo A(inclusive encargos sociais).  </v>
          </cell>
          <cell r="E29" t="str">
            <v>h</v>
          </cell>
          <cell r="F29">
            <v>13.78</v>
          </cell>
          <cell r="G29">
            <v>740</v>
          </cell>
        </row>
        <row r="30">
          <cell r="B30" t="str">
            <v>AD40050218</v>
          </cell>
          <cell r="C30">
            <v>25</v>
          </cell>
          <cell r="D30" t="str">
            <v>Vigia(inclusive encargos sociais).</v>
          </cell>
          <cell r="E30" t="str">
            <v>h</v>
          </cell>
          <cell r="F30">
            <v>4.63</v>
          </cell>
          <cell r="G30">
            <v>2960</v>
          </cell>
        </row>
        <row r="31">
          <cell r="B31" t="str">
            <v xml:space="preserve"> AD10050050</v>
          </cell>
          <cell r="C31">
            <v>26</v>
          </cell>
          <cell r="D31" t="str">
            <v>Marcação de obra sem instrumento topográfico.</v>
          </cell>
          <cell r="E31" t="str">
            <v>m2</v>
          </cell>
          <cell r="F31">
            <v>0.95</v>
          </cell>
          <cell r="G31">
            <v>400</v>
          </cell>
        </row>
        <row r="32">
          <cell r="B32" t="str">
            <v>AD10100100</v>
          </cell>
          <cell r="C32">
            <v>27</v>
          </cell>
          <cell r="D32" t="str">
            <v>Locação de obra com aparelho topográfico.</v>
          </cell>
          <cell r="E32" t="str">
            <v>m</v>
          </cell>
          <cell r="F32">
            <v>6.75</v>
          </cell>
          <cell r="G32">
            <v>410</v>
          </cell>
        </row>
        <row r="33">
          <cell r="B33" t="str">
            <v>AD15150750</v>
          </cell>
          <cell r="C33">
            <v>28</v>
          </cell>
          <cell r="D33" t="str">
            <v>Veiculo motor 1.0 a gasolina sem motorista.</v>
          </cell>
          <cell r="E33" t="str">
            <v>mês</v>
          </cell>
          <cell r="F33">
            <v>1269.6600000000001</v>
          </cell>
          <cell r="G33">
            <v>8</v>
          </cell>
        </row>
        <row r="34">
          <cell r="B34" t="str">
            <v>AD20250050</v>
          </cell>
          <cell r="C34">
            <v>29</v>
          </cell>
          <cell r="D34" t="str">
            <v>Barragem de bloqueio, reaproveitamento 40 vezes.</v>
          </cell>
          <cell r="E34" t="str">
            <v>m</v>
          </cell>
          <cell r="F34">
            <v>0.98</v>
          </cell>
          <cell r="G34">
            <v>970</v>
          </cell>
        </row>
        <row r="35">
          <cell r="B35" t="str">
            <v>AD20250100</v>
          </cell>
          <cell r="C35">
            <v>30</v>
          </cell>
          <cell r="D35" t="str">
            <v>Barragem de bloqueio de obra, colocação e retirada.</v>
          </cell>
          <cell r="E35" t="str">
            <v>m</v>
          </cell>
          <cell r="F35">
            <v>3.26</v>
          </cell>
          <cell r="G35">
            <v>4200</v>
          </cell>
        </row>
        <row r="36">
          <cell r="B36" t="str">
            <v>AD20250200</v>
          </cell>
          <cell r="C36">
            <v>31</v>
          </cell>
          <cell r="D36" t="str">
            <v>Placa de sinalização para obra de via publica.</v>
          </cell>
          <cell r="E36" t="str">
            <v>un</v>
          </cell>
          <cell r="F36">
            <v>37.67</v>
          </cell>
          <cell r="G36">
            <v>43</v>
          </cell>
        </row>
        <row r="37">
          <cell r="B37" t="str">
            <v>AD20250250</v>
          </cell>
          <cell r="C37">
            <v>32</v>
          </cell>
          <cell r="D37" t="str">
            <v>Placa de sinalização para obra, colocação e retirada.</v>
          </cell>
          <cell r="E37" t="str">
            <v>un</v>
          </cell>
          <cell r="F37">
            <v>0.89</v>
          </cell>
          <cell r="G37">
            <v>173</v>
          </cell>
        </row>
        <row r="38">
          <cell r="B38" t="str">
            <v>AD20250300</v>
          </cell>
          <cell r="C38">
            <v>33</v>
          </cell>
          <cell r="D38" t="str">
            <v>Placa de identificação de obra publica.</v>
          </cell>
          <cell r="E38" t="str">
            <v>m2</v>
          </cell>
          <cell r="F38">
            <v>166.66</v>
          </cell>
          <cell r="G38">
            <v>22.4</v>
          </cell>
        </row>
        <row r="39">
          <cell r="B39" t="str">
            <v>AD25050050</v>
          </cell>
          <cell r="C39">
            <v>34</v>
          </cell>
          <cell r="D39" t="str">
            <v>Aluguel de balizador vaga-lume.</v>
          </cell>
          <cell r="E39" t="str">
            <v>mês</v>
          </cell>
          <cell r="F39">
            <v>86.83</v>
          </cell>
          <cell r="G39">
            <v>960</v>
          </cell>
        </row>
        <row r="40">
          <cell r="B40" t="str">
            <v xml:space="preserve">AD25050200/  </v>
          </cell>
          <cell r="C40">
            <v>35</v>
          </cell>
          <cell r="D40" t="str">
            <v>Aluguel de cavalete plástico universa.</v>
          </cell>
          <cell r="E40" t="str">
            <v>un.mês</v>
          </cell>
          <cell r="F40">
            <v>86.83</v>
          </cell>
          <cell r="G40">
            <v>600</v>
          </cell>
        </row>
        <row r="41">
          <cell r="B41" t="str">
            <v>AD25050250</v>
          </cell>
          <cell r="C41">
            <v>36</v>
          </cell>
          <cell r="D41" t="str">
            <v>Aluguel de cone canalizador empinhavel T-Topde.</v>
          </cell>
          <cell r="E41" t="str">
            <v>un.mês</v>
          </cell>
          <cell r="F41">
            <v>32.29</v>
          </cell>
          <cell r="G41">
            <v>600</v>
          </cell>
        </row>
        <row r="42">
          <cell r="B42" t="str">
            <v>AD35150050A</v>
          </cell>
          <cell r="C42">
            <v>37</v>
          </cell>
          <cell r="D42" t="str">
            <v>Controle tecnológico de obras em concreto armado.</v>
          </cell>
          <cell r="E42" t="str">
            <v>m3</v>
          </cell>
          <cell r="F42">
            <v>12.32</v>
          </cell>
          <cell r="G42">
            <v>382</v>
          </cell>
        </row>
        <row r="43">
          <cell r="B43" t="str">
            <v xml:space="preserve">SE25100100A  </v>
          </cell>
          <cell r="C43">
            <v>38</v>
          </cell>
          <cell r="D43" t="str">
            <v>Projeto executivo para urbanização/reurbanização.</v>
          </cell>
          <cell r="E43" t="str">
            <v>há</v>
          </cell>
          <cell r="F43">
            <v>34610.160000000003</v>
          </cell>
          <cell r="G43">
            <v>5.18</v>
          </cell>
        </row>
        <row r="44">
          <cell r="B44" t="str">
            <v>SE20100050</v>
          </cell>
          <cell r="C44">
            <v>39</v>
          </cell>
          <cell r="D44" t="str">
            <v>Lançamento de linha poligonal básica.</v>
          </cell>
          <cell r="E44" t="str">
            <v>Km</v>
          </cell>
          <cell r="F44">
            <v>159.44</v>
          </cell>
          <cell r="G44">
            <v>1</v>
          </cell>
        </row>
        <row r="45">
          <cell r="B45" t="str">
            <v>SE20102500A</v>
          </cell>
          <cell r="C45">
            <v>40</v>
          </cell>
          <cell r="D45" t="str">
            <v>Nivelamento de eixo de logradouro.</v>
          </cell>
          <cell r="E45" t="str">
            <v>Km</v>
          </cell>
          <cell r="F45">
            <v>74.489999999999995</v>
          </cell>
          <cell r="G45">
            <v>1</v>
          </cell>
        </row>
        <row r="46">
          <cell r="B46" t="str">
            <v>SE20150050</v>
          </cell>
          <cell r="C46">
            <v>41</v>
          </cell>
          <cell r="D46" t="str">
            <v>Levantamento fotográfico de aspecto de área urbana.</v>
          </cell>
          <cell r="E46" t="str">
            <v>un</v>
          </cell>
          <cell r="F46">
            <v>1.8</v>
          </cell>
          <cell r="G46">
            <v>259</v>
          </cell>
        </row>
        <row r="47">
          <cell r="B47" t="str">
            <v>SE20150250</v>
          </cell>
          <cell r="C47">
            <v>42</v>
          </cell>
          <cell r="D47" t="str">
            <v>Levantamento fotográfico aéreo vertical de área urbana.</v>
          </cell>
          <cell r="E47" t="str">
            <v>conj</v>
          </cell>
          <cell r="F47">
            <v>8267.76</v>
          </cell>
          <cell r="G47">
            <v>1</v>
          </cell>
        </row>
        <row r="48">
          <cell r="B48" t="str">
            <v>SE20101600</v>
          </cell>
          <cell r="C48">
            <v>43</v>
          </cell>
          <cell r="D48" t="str">
            <v>Levantamento cadastral das profundidades de tubos.</v>
          </cell>
          <cell r="E48" t="str">
            <v>un</v>
          </cell>
          <cell r="F48">
            <v>23.05</v>
          </cell>
          <cell r="G48">
            <v>137</v>
          </cell>
        </row>
        <row r="49">
          <cell r="B49" t="str">
            <v>SE30050100</v>
          </cell>
          <cell r="C49">
            <v>44</v>
          </cell>
          <cell r="D49" t="str">
            <v>Determinação da deformação com Viga Benkelmann.</v>
          </cell>
          <cell r="E49" t="str">
            <v>un</v>
          </cell>
          <cell r="F49">
            <v>53.9</v>
          </cell>
          <cell r="G49">
            <v>144</v>
          </cell>
        </row>
        <row r="50">
          <cell r="B50" t="str">
            <v>CE05100110</v>
          </cell>
          <cell r="C50">
            <v>45</v>
          </cell>
          <cell r="D50" t="str">
            <v>Consultor de serviços técnicos especializados.</v>
          </cell>
          <cell r="E50" t="str">
            <v>h</v>
          </cell>
          <cell r="F50">
            <v>89.23</v>
          </cell>
          <cell r="G50">
            <v>726</v>
          </cell>
        </row>
        <row r="51">
          <cell r="B51" t="str">
            <v>CO05050500</v>
          </cell>
          <cell r="C51">
            <v>46</v>
          </cell>
          <cell r="D51" t="str">
            <v>Plataforma ou passarela de Pinho.</v>
          </cell>
          <cell r="E51" t="str">
            <v>m2</v>
          </cell>
          <cell r="F51">
            <v>2.31</v>
          </cell>
          <cell r="G51">
            <v>187</v>
          </cell>
        </row>
        <row r="52">
          <cell r="B52" t="str">
            <v>CO05100050</v>
          </cell>
          <cell r="C52">
            <v>47</v>
          </cell>
          <cell r="D52" t="str">
            <v>Aluguel de andaime tubular sobre sapatas fixas.</v>
          </cell>
          <cell r="E52" t="str">
            <v>m2.mês</v>
          </cell>
          <cell r="F52">
            <v>2.2000000000000002</v>
          </cell>
          <cell r="G52">
            <v>2100</v>
          </cell>
        </row>
        <row r="53">
          <cell r="B53" t="str">
            <v>CO05150100</v>
          </cell>
          <cell r="C53">
            <v>48</v>
          </cell>
          <cell r="D53" t="str">
            <v>Montagem e desmontagem de andaime tubular.</v>
          </cell>
          <cell r="E53" t="str">
            <v>m2</v>
          </cell>
          <cell r="F53">
            <v>1.77</v>
          </cell>
          <cell r="G53">
            <v>350</v>
          </cell>
        </row>
        <row r="54">
          <cell r="B54" t="str">
            <v>CO05150300</v>
          </cell>
          <cell r="C54">
            <v>49</v>
          </cell>
          <cell r="D54" t="str">
            <v>Movimentação vertical ou horizontal de plataforma.</v>
          </cell>
          <cell r="E54" t="str">
            <v>m2</v>
          </cell>
          <cell r="F54">
            <v>0.14000000000000001</v>
          </cell>
          <cell r="G54">
            <v>350</v>
          </cell>
        </row>
        <row r="55">
          <cell r="B55" t="str">
            <v>MT05300100</v>
          </cell>
          <cell r="C55">
            <v>50</v>
          </cell>
          <cell r="D55" t="str">
            <v>Escavação manual em material de 1a categoria.</v>
          </cell>
          <cell r="E55" t="str">
            <v>m3</v>
          </cell>
          <cell r="F55">
            <v>12.4</v>
          </cell>
          <cell r="G55">
            <v>10700</v>
          </cell>
        </row>
        <row r="56">
          <cell r="B56" t="str">
            <v>MT10050050</v>
          </cell>
          <cell r="C56">
            <v>51</v>
          </cell>
          <cell r="D56" t="str">
            <v xml:space="preserve">Escavação mecânica, utilizando Retro-Escavadeira. </v>
          </cell>
          <cell r="E56" t="str">
            <v>m3</v>
          </cell>
          <cell r="F56">
            <v>2.77</v>
          </cell>
          <cell r="G56">
            <v>36800</v>
          </cell>
        </row>
        <row r="57">
          <cell r="B57" t="str">
            <v>MT10100050</v>
          </cell>
          <cell r="C57">
            <v>52</v>
          </cell>
          <cell r="D57" t="str">
            <v>Escavação mecânica, utilizando Escavadeira.</v>
          </cell>
          <cell r="E57" t="str">
            <v>m3</v>
          </cell>
          <cell r="F57">
            <v>0.96</v>
          </cell>
          <cell r="G57">
            <v>7300</v>
          </cell>
        </row>
        <row r="58">
          <cell r="B58" t="str">
            <v>MT15050250</v>
          </cell>
          <cell r="C58">
            <v>53</v>
          </cell>
          <cell r="D58" t="str">
            <v xml:space="preserve">Reaterro de vala com material de boa qualidade. </v>
          </cell>
          <cell r="E58" t="str">
            <v>m3</v>
          </cell>
          <cell r="F58">
            <v>9.3000000000000007</v>
          </cell>
          <cell r="G58">
            <v>13700</v>
          </cell>
        </row>
        <row r="59">
          <cell r="B59" t="str">
            <v>MT15050300</v>
          </cell>
          <cell r="C59">
            <v>54</v>
          </cell>
          <cell r="D59" t="str">
            <v>Reaterro de vala, com po-de-pedra.</v>
          </cell>
          <cell r="E59" t="str">
            <v>m3</v>
          </cell>
          <cell r="F59">
            <v>36.18</v>
          </cell>
          <cell r="G59">
            <v>19600</v>
          </cell>
        </row>
        <row r="60">
          <cell r="B60" t="str">
            <v>MT05250050</v>
          </cell>
          <cell r="C60">
            <v>55</v>
          </cell>
          <cell r="D60" t="str">
            <v>Desmonte manual de bloco de 3a categoria.</v>
          </cell>
          <cell r="E60" t="str">
            <v>m3</v>
          </cell>
          <cell r="F60">
            <v>32.14</v>
          </cell>
          <cell r="G60">
            <v>7050</v>
          </cell>
        </row>
        <row r="61">
          <cell r="B61" t="str">
            <v>MT05450050</v>
          </cell>
          <cell r="C61">
            <v>56</v>
          </cell>
          <cell r="D61" t="str">
            <v>Desmonte a fogo de bloco de material de 3a categoria.</v>
          </cell>
          <cell r="E61" t="str">
            <v>m3</v>
          </cell>
          <cell r="F61">
            <v>66.56</v>
          </cell>
          <cell r="G61">
            <v>8545</v>
          </cell>
        </row>
        <row r="62">
          <cell r="B62" t="str">
            <v>MT15150050</v>
          </cell>
          <cell r="C62">
            <v>57</v>
          </cell>
          <cell r="D62" t="str">
            <v>Preparo de solo ate 30cm de profundidade.</v>
          </cell>
          <cell r="E62" t="str">
            <v>m2</v>
          </cell>
          <cell r="F62">
            <v>5.46</v>
          </cell>
          <cell r="G62">
            <v>17842</v>
          </cell>
        </row>
        <row r="63">
          <cell r="B63" t="str">
            <v>MT20050050</v>
          </cell>
          <cell r="C63">
            <v>58</v>
          </cell>
          <cell r="D63" t="str">
            <v>Espalhamento de material de 1a categoria.</v>
          </cell>
          <cell r="E63" t="str">
            <v>m3</v>
          </cell>
          <cell r="F63">
            <v>0.24</v>
          </cell>
          <cell r="G63">
            <v>70776</v>
          </cell>
        </row>
        <row r="64">
          <cell r="B64" t="str">
            <v>TC05050350</v>
          </cell>
          <cell r="C64">
            <v>59</v>
          </cell>
          <cell r="D64" t="str">
            <v>Transporte de carga de qualquer natureza.</v>
          </cell>
          <cell r="E64" t="str">
            <v>t.Km</v>
          </cell>
          <cell r="F64">
            <v>0.39</v>
          </cell>
          <cell r="G64">
            <v>1880000</v>
          </cell>
        </row>
        <row r="65">
          <cell r="B65" t="str">
            <v>TC10050150</v>
          </cell>
          <cell r="C65">
            <v>60</v>
          </cell>
          <cell r="D65" t="str">
            <v>Carga manual e descarga mecânica.</v>
          </cell>
          <cell r="E65" t="str">
            <v>t</v>
          </cell>
          <cell r="F65">
            <v>7.38</v>
          </cell>
          <cell r="G65">
            <v>47000</v>
          </cell>
        </row>
        <row r="66">
          <cell r="B66" t="str">
            <v>EQ05050100A</v>
          </cell>
          <cell r="C66">
            <v>61</v>
          </cell>
          <cell r="D66" t="str">
            <v xml:space="preserve">Caminhão basculante. Custo horário produtivo.     </v>
          </cell>
          <cell r="E66" t="str">
            <v>h</v>
          </cell>
          <cell r="F66">
            <v>45.34</v>
          </cell>
          <cell r="G66">
            <v>2446</v>
          </cell>
        </row>
        <row r="67">
          <cell r="B67" t="str">
            <v>EQ05050103A</v>
          </cell>
          <cell r="C67">
            <v>62</v>
          </cell>
          <cell r="D67" t="str">
            <v>Caminhão basculante. Custo horário improdutivo.</v>
          </cell>
          <cell r="E67" t="str">
            <v>h</v>
          </cell>
          <cell r="F67">
            <v>25.39</v>
          </cell>
          <cell r="G67">
            <v>432</v>
          </cell>
        </row>
        <row r="68">
          <cell r="B68" t="str">
            <v>EQ05050300</v>
          </cell>
          <cell r="C68">
            <v>63</v>
          </cell>
          <cell r="D68" t="str">
            <v>Caminhão com Carroceria Fixa. Aluguel produtivo.</v>
          </cell>
          <cell r="E68" t="str">
            <v>h</v>
          </cell>
          <cell r="F68">
            <v>32.28</v>
          </cell>
          <cell r="G68">
            <v>1957</v>
          </cell>
        </row>
        <row r="69">
          <cell r="B69" t="str">
            <v>EQ05050306</v>
          </cell>
          <cell r="C69">
            <v>64</v>
          </cell>
          <cell r="D69" t="str">
            <v>Caminhão com Carroceria Fixa. Aluguel improdutivo.</v>
          </cell>
          <cell r="E69" t="str">
            <v>h</v>
          </cell>
          <cell r="F69">
            <v>8.5399999999999991</v>
          </cell>
          <cell r="G69">
            <v>346</v>
          </cell>
        </row>
        <row r="70">
          <cell r="B70" t="str">
            <v>EQ05050415</v>
          </cell>
          <cell r="C70">
            <v>65</v>
          </cell>
          <cell r="D70" t="str">
            <v xml:space="preserve">Caminhão Carroceria Fixa F-12000 Munck produtivo.               </v>
          </cell>
          <cell r="E70" t="str">
            <v>h</v>
          </cell>
          <cell r="F70">
            <v>53.72</v>
          </cell>
          <cell r="G70">
            <v>3453</v>
          </cell>
        </row>
        <row r="71">
          <cell r="B71" t="str">
            <v>EQ15050450</v>
          </cell>
          <cell r="C71">
            <v>66</v>
          </cell>
          <cell r="D71" t="str">
            <v xml:space="preserve">Pa-carregadeira(Carregador frontal). Custo produtivo.  </v>
          </cell>
          <cell r="E71" t="str">
            <v>h</v>
          </cell>
          <cell r="F71">
            <v>68.34</v>
          </cell>
          <cell r="G71">
            <v>1345</v>
          </cell>
        </row>
        <row r="72">
          <cell r="B72" t="str">
            <v>EQ15050453</v>
          </cell>
          <cell r="C72">
            <v>67</v>
          </cell>
          <cell r="D72" t="str">
            <v>Pa-carregadeira(Carregador Frontal).Custo improdutivo.</v>
          </cell>
          <cell r="E72" t="str">
            <v>h</v>
          </cell>
          <cell r="F72">
            <v>31.05</v>
          </cell>
          <cell r="G72">
            <v>237</v>
          </cell>
        </row>
        <row r="73">
          <cell r="B73" t="str">
            <v>EQ15050500</v>
          </cell>
          <cell r="C73">
            <v>68</v>
          </cell>
          <cell r="D73" t="str">
            <v xml:space="preserve">Retro-Escavadeira/carregadeira. Custo produtivo. </v>
          </cell>
          <cell r="E73" t="str">
            <v>h</v>
          </cell>
          <cell r="F73">
            <v>45.49</v>
          </cell>
          <cell r="G73">
            <v>1439</v>
          </cell>
        </row>
        <row r="74">
          <cell r="B74" t="str">
            <v>EQ30050200</v>
          </cell>
          <cell r="C74">
            <v>69</v>
          </cell>
          <cell r="D74" t="str">
            <v>Betoneira com capacidade de 580l, Aluguel produtivo.</v>
          </cell>
          <cell r="E74" t="str">
            <v>h</v>
          </cell>
          <cell r="F74">
            <v>4.71</v>
          </cell>
          <cell r="G74">
            <v>2041</v>
          </cell>
        </row>
        <row r="75">
          <cell r="B75" t="str">
            <v>EQ30050206</v>
          </cell>
          <cell r="C75">
            <v>70</v>
          </cell>
          <cell r="D75" t="str">
            <v>Betoneira com capacidade de 580l Aluguel improdutivo.</v>
          </cell>
          <cell r="E75" t="str">
            <v>h</v>
          </cell>
          <cell r="F75">
            <v>1.56</v>
          </cell>
          <cell r="G75">
            <v>216</v>
          </cell>
        </row>
        <row r="76">
          <cell r="B76" t="str">
            <v>EQ15050550</v>
          </cell>
          <cell r="C76">
            <v>71</v>
          </cell>
          <cell r="D76" t="str">
            <v xml:space="preserve">Rompedor Pneumático de 32,6Kg Aluguel produtivo. </v>
          </cell>
          <cell r="E76" t="str">
            <v>h</v>
          </cell>
          <cell r="F76">
            <v>1.05</v>
          </cell>
          <cell r="G76">
            <v>648</v>
          </cell>
        </row>
        <row r="77">
          <cell r="B77" t="str">
            <v>EQ15050556</v>
          </cell>
          <cell r="C77">
            <v>72</v>
          </cell>
          <cell r="D77" t="str">
            <v>Rompedor Pneumático de 32,6Kg Aluguel improdutivo.</v>
          </cell>
          <cell r="E77" t="str">
            <v>h</v>
          </cell>
          <cell r="F77">
            <v>0.7</v>
          </cell>
          <cell r="G77">
            <v>72</v>
          </cell>
        </row>
        <row r="78">
          <cell r="B78" t="str">
            <v xml:space="preserve"> EQ20050800</v>
          </cell>
          <cell r="C78">
            <v>73</v>
          </cell>
          <cell r="D78" t="str">
            <v xml:space="preserve">Vassoura Mecânica, rebocável, Aluguel produtivo.   </v>
          </cell>
          <cell r="E78" t="str">
            <v>h</v>
          </cell>
          <cell r="F78">
            <v>3.58</v>
          </cell>
          <cell r="G78">
            <v>1712</v>
          </cell>
        </row>
        <row r="79">
          <cell r="B79" t="str">
            <v>EQ20050806</v>
          </cell>
          <cell r="C79">
            <v>74</v>
          </cell>
          <cell r="D79" t="str">
            <v>Vassoura Mecânica, rebocável, Aluguel improdutivo.</v>
          </cell>
          <cell r="E79" t="str">
            <v>h</v>
          </cell>
          <cell r="F79">
            <v>1.43</v>
          </cell>
          <cell r="G79">
            <v>216</v>
          </cell>
        </row>
        <row r="80">
          <cell r="B80" t="str">
            <v>EQ35100200</v>
          </cell>
          <cell r="C80">
            <v>75</v>
          </cell>
          <cell r="D80" t="str">
            <v xml:space="preserve">Bomba Centrífuga Submersível. Aluguel produtivo.    </v>
          </cell>
          <cell r="E80" t="str">
            <v>h</v>
          </cell>
          <cell r="F80">
            <v>3.6</v>
          </cell>
          <cell r="G80">
            <v>8632</v>
          </cell>
        </row>
        <row r="81">
          <cell r="B81" t="str">
            <v>EQ35100203</v>
          </cell>
          <cell r="C81">
            <v>76</v>
          </cell>
          <cell r="D81" t="str">
            <v>Bomba Centrífuga Submersível. Aluguel improdutivo.</v>
          </cell>
          <cell r="E81" t="str">
            <v>h</v>
          </cell>
          <cell r="F81">
            <v>1.4</v>
          </cell>
          <cell r="G81">
            <v>863</v>
          </cell>
        </row>
        <row r="82">
          <cell r="B82" t="str">
            <v>EQ45050159</v>
          </cell>
          <cell r="C82">
            <v>77</v>
          </cell>
          <cell r="D82" t="str">
            <v>Compressor de ar. Aluguel improdutivo.</v>
          </cell>
          <cell r="E82" t="str">
            <v>h</v>
          </cell>
          <cell r="F82">
            <v>3.64</v>
          </cell>
          <cell r="G82">
            <v>72</v>
          </cell>
        </row>
        <row r="83">
          <cell r="B83" t="str">
            <v>EQ45150100</v>
          </cell>
          <cell r="C83">
            <v>78</v>
          </cell>
          <cell r="D83" t="str">
            <v>Retificador de solda elétrica de 430A.</v>
          </cell>
          <cell r="E83" t="str">
            <v>h</v>
          </cell>
          <cell r="F83">
            <v>7.16</v>
          </cell>
          <cell r="G83">
            <v>1007</v>
          </cell>
        </row>
        <row r="84">
          <cell r="B84" t="str">
            <v>EQ40050150A</v>
          </cell>
          <cell r="C84">
            <v>79</v>
          </cell>
          <cell r="D84" t="str">
            <v>Equipamento de jato d'água (Sewer-Jet ou similar).</v>
          </cell>
          <cell r="E84" t="str">
            <v>h</v>
          </cell>
          <cell r="F84">
            <v>79.2</v>
          </cell>
          <cell r="G84">
            <v>1079</v>
          </cell>
        </row>
        <row r="85">
          <cell r="B85" t="str">
            <v>EQ40050153A</v>
          </cell>
          <cell r="C85">
            <v>80</v>
          </cell>
          <cell r="D85" t="str">
            <v>Equipamento de alta pressão  (Vac-All ou similar).</v>
          </cell>
          <cell r="E85" t="str">
            <v>h</v>
          </cell>
          <cell r="F85">
            <v>104.07</v>
          </cell>
          <cell r="G85">
            <v>1942</v>
          </cell>
        </row>
        <row r="86">
          <cell r="B86" t="str">
            <v>SC05050050</v>
          </cell>
          <cell r="C86">
            <v>81</v>
          </cell>
          <cell r="D86" t="str">
            <v>Arrancamento de aparelhos de iluminação.</v>
          </cell>
          <cell r="E86" t="str">
            <v>un</v>
          </cell>
          <cell r="F86">
            <v>1.67</v>
          </cell>
          <cell r="G86">
            <v>65</v>
          </cell>
        </row>
        <row r="87">
          <cell r="B87" t="str">
            <v>SC05050200</v>
          </cell>
          <cell r="C87">
            <v>82</v>
          </cell>
          <cell r="D87" t="str">
            <v>Arrancamento de grades, gradis, alambrados, cercas.</v>
          </cell>
          <cell r="E87" t="str">
            <v>m2</v>
          </cell>
          <cell r="F87">
            <v>4.43</v>
          </cell>
          <cell r="G87">
            <v>144</v>
          </cell>
        </row>
        <row r="88">
          <cell r="B88" t="str">
            <v>SC05050250</v>
          </cell>
          <cell r="C88">
            <v>83</v>
          </cell>
          <cell r="D88" t="str">
            <v>Arrancamento de meios-fios, de granito ou concreto.</v>
          </cell>
          <cell r="E88" t="str">
            <v>m</v>
          </cell>
          <cell r="F88">
            <v>4.87</v>
          </cell>
          <cell r="G88">
            <v>3739</v>
          </cell>
        </row>
        <row r="89">
          <cell r="B89" t="str">
            <v>SC05050300</v>
          </cell>
          <cell r="C89">
            <v>84</v>
          </cell>
          <cell r="D89" t="str">
            <v>Arrancamento de paralelepípedos.</v>
          </cell>
          <cell r="E89" t="str">
            <v>m2</v>
          </cell>
          <cell r="F89">
            <v>2.21</v>
          </cell>
          <cell r="G89">
            <v>860</v>
          </cell>
        </row>
        <row r="90">
          <cell r="B90" t="str">
            <v>SC05050500</v>
          </cell>
          <cell r="C90">
            <v>85</v>
          </cell>
          <cell r="D90" t="str">
            <v>Arrancamento tubos concreto manilhas ø 0,40 a 0,60m.</v>
          </cell>
          <cell r="E90" t="str">
            <v>m</v>
          </cell>
          <cell r="F90">
            <v>3.99</v>
          </cell>
          <cell r="G90">
            <v>328</v>
          </cell>
        </row>
        <row r="91">
          <cell r="B91" t="str">
            <v>SC05050601</v>
          </cell>
          <cell r="C91">
            <v>86</v>
          </cell>
          <cell r="D91" t="str">
            <v>Demolição manual de alvenaria de pedra argamassada.</v>
          </cell>
          <cell r="E91" t="str">
            <v>m3</v>
          </cell>
          <cell r="F91">
            <v>30.27</v>
          </cell>
          <cell r="G91">
            <v>324</v>
          </cell>
        </row>
        <row r="92">
          <cell r="B92" t="str">
            <v>SC05050750</v>
          </cell>
          <cell r="C92">
            <v>87</v>
          </cell>
          <cell r="D92" t="str">
            <v>Demolição manual de alvenaria de tijolos maciços.</v>
          </cell>
          <cell r="E92" t="str">
            <v>m3</v>
          </cell>
          <cell r="F92">
            <v>52.99</v>
          </cell>
          <cell r="G92">
            <v>130</v>
          </cell>
        </row>
        <row r="93">
          <cell r="B93" t="str">
            <v>SC05050850</v>
          </cell>
          <cell r="C93">
            <v>88</v>
          </cell>
          <cell r="D93" t="str">
            <v>Demolição manual de concreto simples.</v>
          </cell>
          <cell r="E93" t="str">
            <v>m3</v>
          </cell>
          <cell r="F93">
            <v>60.55</v>
          </cell>
          <cell r="G93">
            <v>1904</v>
          </cell>
        </row>
        <row r="94">
          <cell r="B94" t="str">
            <v>SC05050950</v>
          </cell>
          <cell r="C94">
            <v>89</v>
          </cell>
          <cell r="D94" t="str">
            <v>Demolição manual de concreto armado.</v>
          </cell>
          <cell r="E94" t="str">
            <v>m3</v>
          </cell>
          <cell r="F94">
            <v>85.78</v>
          </cell>
          <cell r="G94">
            <v>140</v>
          </cell>
        </row>
        <row r="95">
          <cell r="B95" t="str">
            <v>SC05051400</v>
          </cell>
          <cell r="C95">
            <v>90</v>
          </cell>
          <cell r="D95" t="str">
            <v>Demolição de revestimento em argamassa.</v>
          </cell>
          <cell r="E95" t="str">
            <v>m2</v>
          </cell>
          <cell r="F95">
            <v>2.21</v>
          </cell>
          <cell r="G95">
            <v>144</v>
          </cell>
        </row>
        <row r="96">
          <cell r="B96" t="str">
            <v>SC05051450</v>
          </cell>
          <cell r="C96">
            <v>91</v>
          </cell>
          <cell r="D96" t="str">
            <v>Demolição de revestimento em azulejos, cerâmicas.</v>
          </cell>
          <cell r="E96" t="str">
            <v>m2</v>
          </cell>
          <cell r="F96">
            <v>5.31</v>
          </cell>
          <cell r="G96">
            <v>130</v>
          </cell>
        </row>
        <row r="97">
          <cell r="B97" t="str">
            <v>SC05052150</v>
          </cell>
          <cell r="C97">
            <v>92</v>
          </cell>
          <cell r="D97" t="str">
            <v>Remoção de cobertura de telha francesa.</v>
          </cell>
          <cell r="E97" t="str">
            <v>m2</v>
          </cell>
          <cell r="F97">
            <v>8.26</v>
          </cell>
          <cell r="G97">
            <v>260</v>
          </cell>
        </row>
        <row r="98">
          <cell r="B98" t="str">
            <v>SC05052450</v>
          </cell>
          <cell r="C98">
            <v>93</v>
          </cell>
          <cell r="D98" t="str">
            <v>Remoção de cobertura de telha de fibro-cimento.</v>
          </cell>
          <cell r="E98" t="str">
            <v>m2</v>
          </cell>
          <cell r="F98">
            <v>3.87</v>
          </cell>
          <cell r="G98">
            <v>460</v>
          </cell>
        </row>
        <row r="99">
          <cell r="B99" t="str">
            <v>SC05052900</v>
          </cell>
          <cell r="C99">
            <v>94</v>
          </cell>
          <cell r="D99" t="str">
            <v xml:space="preserve">Remoção manual de passeio de pedra portuguesa. </v>
          </cell>
          <cell r="E99" t="str">
            <v>m2</v>
          </cell>
          <cell r="F99">
            <v>2.44</v>
          </cell>
          <cell r="G99">
            <v>2900</v>
          </cell>
        </row>
        <row r="100">
          <cell r="B100" t="str">
            <v>SC05053250</v>
          </cell>
          <cell r="C100">
            <v>95</v>
          </cell>
          <cell r="D100" t="str">
            <v>Remoção de tubulação ferro fundido ø50mm a 300mm.</v>
          </cell>
          <cell r="E100" t="str">
            <v>m</v>
          </cell>
          <cell r="F100">
            <v>11.88</v>
          </cell>
          <cell r="G100">
            <v>290</v>
          </cell>
        </row>
        <row r="101">
          <cell r="B101" t="str">
            <v>SC05100150</v>
          </cell>
          <cell r="C101">
            <v>96</v>
          </cell>
          <cell r="D101" t="str">
            <v>Demolição, com equipamento, concreto simples.</v>
          </cell>
          <cell r="E101" t="str">
            <v>m3</v>
          </cell>
          <cell r="F101">
            <v>43.52</v>
          </cell>
          <cell r="G101">
            <v>2160</v>
          </cell>
        </row>
        <row r="102">
          <cell r="B102" t="str">
            <v>SC05100300</v>
          </cell>
          <cell r="C102">
            <v>97</v>
          </cell>
          <cell r="D102" t="str">
            <v>Demolição, com equipamento concreto armado.</v>
          </cell>
          <cell r="E102" t="str">
            <v>m3</v>
          </cell>
          <cell r="F102">
            <v>73.98</v>
          </cell>
          <cell r="G102">
            <v>3400</v>
          </cell>
        </row>
        <row r="103">
          <cell r="B103" t="str">
            <v>SC05100500</v>
          </cell>
          <cell r="C103">
            <v>98</v>
          </cell>
          <cell r="D103" t="str">
            <v>Demolição com equip. concreto asfáltico 10cm.</v>
          </cell>
          <cell r="E103" t="str">
            <v>m2</v>
          </cell>
          <cell r="F103">
            <v>8.98</v>
          </cell>
          <cell r="G103">
            <v>20100</v>
          </cell>
        </row>
        <row r="104">
          <cell r="B104" t="str">
            <v>SC10050250</v>
          </cell>
          <cell r="C104">
            <v>99</v>
          </cell>
          <cell r="D104" t="str">
            <v xml:space="preserve">Bombeiro hidráulico (inclusive encargos sociais).   </v>
          </cell>
          <cell r="E104" t="str">
            <v>h</v>
          </cell>
          <cell r="F104">
            <v>6.48</v>
          </cell>
          <cell r="G104">
            <v>2960</v>
          </cell>
        </row>
        <row r="105">
          <cell r="B105" t="str">
            <v>SC10050300</v>
          </cell>
          <cell r="C105">
            <v>100</v>
          </cell>
          <cell r="D105" t="str">
            <v xml:space="preserve">Calceteiro (inclusive encargos sociais).   </v>
          </cell>
          <cell r="E105" t="str">
            <v>h</v>
          </cell>
          <cell r="F105">
            <v>5.99</v>
          </cell>
          <cell r="G105">
            <v>1480</v>
          </cell>
        </row>
        <row r="106">
          <cell r="B106" t="str">
            <v>SC10050350</v>
          </cell>
          <cell r="C106">
            <v>101</v>
          </cell>
          <cell r="D106" t="str">
            <v>Carpinteiro de forma (inclusive encargos sociais).</v>
          </cell>
          <cell r="E106" t="str">
            <v>h</v>
          </cell>
          <cell r="F106">
            <v>5.99</v>
          </cell>
          <cell r="G106">
            <v>1480</v>
          </cell>
        </row>
        <row r="107">
          <cell r="B107" t="str">
            <v>SC10050450</v>
          </cell>
          <cell r="C107">
            <v>102</v>
          </cell>
          <cell r="D107" t="str">
            <v xml:space="preserve">Eletricista (inclusive encargos sociais). </v>
          </cell>
          <cell r="E107" t="str">
            <v>h</v>
          </cell>
          <cell r="F107">
            <v>6.48</v>
          </cell>
          <cell r="G107">
            <v>2960</v>
          </cell>
        </row>
        <row r="108">
          <cell r="B108" t="str">
            <v>SC10050900</v>
          </cell>
          <cell r="C108">
            <v>103</v>
          </cell>
          <cell r="D108" t="str">
            <v xml:space="preserve">Marteleteiro (inclusive encargos sociais). </v>
          </cell>
          <cell r="E108" t="str">
            <v>h</v>
          </cell>
          <cell r="F108">
            <v>5.99</v>
          </cell>
          <cell r="G108">
            <v>2960</v>
          </cell>
        </row>
        <row r="109">
          <cell r="B109" t="str">
            <v>SC10051100</v>
          </cell>
          <cell r="C109">
            <v>104</v>
          </cell>
          <cell r="D109" t="str">
            <v>Operador de máquinas.(inclusive encargos sociais).</v>
          </cell>
          <cell r="E109" t="str">
            <v>h</v>
          </cell>
          <cell r="F109">
            <v>6.48</v>
          </cell>
          <cell r="G109">
            <v>1480</v>
          </cell>
        </row>
        <row r="110">
          <cell r="B110" t="str">
            <v>SC10051200</v>
          </cell>
          <cell r="C110">
            <v>105</v>
          </cell>
          <cell r="D110" t="str">
            <v xml:space="preserve">Pedreiro (inclusive encargos sociais).   </v>
          </cell>
          <cell r="E110" t="str">
            <v>h</v>
          </cell>
          <cell r="F110">
            <v>5.99</v>
          </cell>
          <cell r="G110">
            <v>2960</v>
          </cell>
        </row>
        <row r="111">
          <cell r="B111" t="str">
            <v>SC10051450</v>
          </cell>
          <cell r="C111">
            <v>106</v>
          </cell>
          <cell r="D111" t="str">
            <v>Servente (inclusive encargos sociais).</v>
          </cell>
          <cell r="E111" t="str">
            <v>h</v>
          </cell>
          <cell r="F111">
            <v>4.3</v>
          </cell>
          <cell r="G111">
            <v>5920</v>
          </cell>
        </row>
        <row r="112">
          <cell r="B112" t="str">
            <v>SC10051500</v>
          </cell>
          <cell r="C112">
            <v>107</v>
          </cell>
          <cell r="D112" t="str">
            <v>Soldador em construção civil (inclusive encargos).</v>
          </cell>
          <cell r="E112" t="str">
            <v>h</v>
          </cell>
          <cell r="F112">
            <v>6.23</v>
          </cell>
          <cell r="G112">
            <v>1480</v>
          </cell>
        </row>
        <row r="113">
          <cell r="B113" t="str">
            <v>SC10100050</v>
          </cell>
          <cell r="C113">
            <v>108</v>
          </cell>
          <cell r="D113" t="str">
            <v xml:space="preserve">Operador de tráfego(inclusive encargos sociais). </v>
          </cell>
          <cell r="E113" t="str">
            <v>h</v>
          </cell>
          <cell r="F113">
            <v>7.08</v>
          </cell>
          <cell r="G113">
            <v>2960</v>
          </cell>
        </row>
        <row r="114">
          <cell r="B114" t="str">
            <v>SC05100050</v>
          </cell>
          <cell r="C114">
            <v>109</v>
          </cell>
          <cell r="D114" t="str">
            <v>Arrancamento de tampão de ferro fundido.</v>
          </cell>
          <cell r="E114" t="str">
            <v>un</v>
          </cell>
          <cell r="F114">
            <v>15.18</v>
          </cell>
          <cell r="G114">
            <v>22</v>
          </cell>
        </row>
        <row r="115">
          <cell r="B115" t="str">
            <v>SC15050100</v>
          </cell>
          <cell r="C115">
            <v>110</v>
          </cell>
          <cell r="D115" t="str">
            <v>Aditivo de reciclagem para mistura asfáltica a quente.</v>
          </cell>
          <cell r="E115" t="str">
            <v>t</v>
          </cell>
          <cell r="F115">
            <v>2857.32</v>
          </cell>
          <cell r="G115">
            <v>15</v>
          </cell>
        </row>
        <row r="116">
          <cell r="B116" t="str">
            <v>SC15050150</v>
          </cell>
          <cell r="C116">
            <v>111</v>
          </cell>
          <cell r="D116" t="str">
            <v>Areia grossa lavada. Fornecimento.</v>
          </cell>
          <cell r="E116" t="str">
            <v>m3</v>
          </cell>
          <cell r="F116">
            <v>21</v>
          </cell>
          <cell r="G116">
            <v>2000</v>
          </cell>
        </row>
        <row r="117">
          <cell r="B117" t="str">
            <v>SC15050200</v>
          </cell>
          <cell r="C117">
            <v>112</v>
          </cell>
          <cell r="D117" t="str">
            <v>Asfalto diluído tipo cura rápida CR-250</v>
          </cell>
          <cell r="E117" t="str">
            <v>t</v>
          </cell>
          <cell r="F117">
            <v>1468.02</v>
          </cell>
          <cell r="G117">
            <v>7</v>
          </cell>
        </row>
        <row r="118">
          <cell r="B118" t="str">
            <v>SC15050550</v>
          </cell>
          <cell r="C118">
            <v>113</v>
          </cell>
          <cell r="D118" t="str">
            <v xml:space="preserve">Saibro, inclusive transporte ate 20Km.Fornecimento. </v>
          </cell>
          <cell r="E118" t="str">
            <v>m3</v>
          </cell>
          <cell r="F118">
            <v>20.63</v>
          </cell>
          <cell r="G118">
            <v>184</v>
          </cell>
        </row>
        <row r="119">
          <cell r="B119" t="str">
            <v>SC15100050</v>
          </cell>
          <cell r="C119">
            <v>114</v>
          </cell>
          <cell r="D119" t="str">
            <v>Chapa de aço de 3/4"para passagem de veículos.</v>
          </cell>
          <cell r="E119" t="str">
            <v>m2</v>
          </cell>
          <cell r="F119">
            <v>17.100000000000001</v>
          </cell>
          <cell r="G119">
            <v>360</v>
          </cell>
        </row>
        <row r="120">
          <cell r="B120" t="str">
            <v>SC35050050A</v>
          </cell>
          <cell r="C120">
            <v>115</v>
          </cell>
          <cell r="D120" t="str">
            <v>Levantamento ou rebaixamento de tampão na rua.</v>
          </cell>
          <cell r="E120" t="str">
            <v>un</v>
          </cell>
          <cell r="F120">
            <v>86.15</v>
          </cell>
          <cell r="G120">
            <v>169</v>
          </cell>
        </row>
        <row r="121">
          <cell r="B121" t="str">
            <v>SC45050150</v>
          </cell>
          <cell r="C121">
            <v>116</v>
          </cell>
          <cell r="D121" t="str">
            <v>Toten informativo nas dimensões de (0,50x1,50)m.</v>
          </cell>
          <cell r="E121" t="str">
            <v>un</v>
          </cell>
          <cell r="F121">
            <v>2490</v>
          </cell>
          <cell r="G121">
            <v>29</v>
          </cell>
        </row>
        <row r="122">
          <cell r="B122" t="str">
            <v>SC45100200</v>
          </cell>
          <cell r="C122">
            <v>117</v>
          </cell>
          <cell r="D122" t="str">
            <v>Placa de inauguração em bronze.</v>
          </cell>
          <cell r="E122" t="str">
            <v>un</v>
          </cell>
          <cell r="F122">
            <v>1003.36</v>
          </cell>
          <cell r="G122">
            <v>1</v>
          </cell>
        </row>
        <row r="123">
          <cell r="B123" t="str">
            <v>FD05400100</v>
          </cell>
          <cell r="C123">
            <v>118</v>
          </cell>
          <cell r="D123" t="str">
            <v>Arrasamento de estaca concreto armado, ø40 a 50cm.</v>
          </cell>
          <cell r="E123" t="str">
            <v>un</v>
          </cell>
          <cell r="F123">
            <v>103.03</v>
          </cell>
          <cell r="G123">
            <v>23</v>
          </cell>
        </row>
        <row r="124">
          <cell r="B124" t="str">
            <v>FD05500050</v>
          </cell>
          <cell r="C124">
            <v>119</v>
          </cell>
          <cell r="D124" t="str">
            <v>Estaca raiz com diâmetro de 12", perfurada em solo.</v>
          </cell>
          <cell r="E124" t="str">
            <v>m</v>
          </cell>
          <cell r="F124">
            <v>248.49</v>
          </cell>
          <cell r="G124">
            <v>260</v>
          </cell>
        </row>
        <row r="125">
          <cell r="B125" t="str">
            <v>FD05650150</v>
          </cell>
          <cell r="C125">
            <v>120</v>
          </cell>
          <cell r="D125" t="str">
            <v>Estaca raiz com diâmetro de 10", perfurada em solo.</v>
          </cell>
          <cell r="E125" t="str">
            <v>m</v>
          </cell>
          <cell r="F125">
            <v>130</v>
          </cell>
          <cell r="G125">
            <v>86</v>
          </cell>
        </row>
        <row r="126">
          <cell r="B126" t="str">
            <v>FD10050100</v>
          </cell>
          <cell r="C126">
            <v>121</v>
          </cell>
          <cell r="D126" t="str">
            <v>Ensecadeira de estacas-prancha de aço, tipo Armco.</v>
          </cell>
          <cell r="E126" t="str">
            <v>m2</v>
          </cell>
          <cell r="F126">
            <v>127.53</v>
          </cell>
          <cell r="G126">
            <v>4200</v>
          </cell>
        </row>
        <row r="127">
          <cell r="B127" t="str">
            <v>FD10100050</v>
          </cell>
          <cell r="C127">
            <v>122</v>
          </cell>
          <cell r="D127" t="str">
            <v>Ensecadeira de estacas-prancha em Maçaranduba.</v>
          </cell>
          <cell r="E127" t="str">
            <v>m2</v>
          </cell>
          <cell r="F127">
            <v>70.5</v>
          </cell>
          <cell r="G127">
            <v>2395</v>
          </cell>
        </row>
        <row r="128">
          <cell r="B128" t="str">
            <v>ET15100100</v>
          </cell>
          <cell r="C128">
            <v>123</v>
          </cell>
          <cell r="D128" t="str">
            <v>Formas de madeira peças de concreto armado.</v>
          </cell>
          <cell r="E128" t="str">
            <v>m2</v>
          </cell>
          <cell r="F128">
            <v>25.9</v>
          </cell>
          <cell r="G128">
            <v>2986</v>
          </cell>
        </row>
        <row r="129">
          <cell r="B129" t="str">
            <v>ET15100200</v>
          </cell>
          <cell r="C129">
            <v>124</v>
          </cell>
          <cell r="D129" t="str">
            <v>Formas de madeira.</v>
          </cell>
          <cell r="E129" t="str">
            <v>m2</v>
          </cell>
          <cell r="F129">
            <v>34.86</v>
          </cell>
          <cell r="G129">
            <v>4352</v>
          </cell>
        </row>
        <row r="130">
          <cell r="B130" t="str">
            <v>ET15100250</v>
          </cell>
          <cell r="C130">
            <v>125</v>
          </cell>
          <cell r="D130" t="str">
            <v>Formas de madeira.</v>
          </cell>
          <cell r="E130" t="str">
            <v>m2</v>
          </cell>
          <cell r="F130">
            <v>29.62</v>
          </cell>
          <cell r="G130">
            <v>4406</v>
          </cell>
        </row>
        <row r="131">
          <cell r="B131" t="str">
            <v>ET20300050</v>
          </cell>
          <cell r="C131">
            <v>126</v>
          </cell>
          <cell r="D131" t="str">
            <v>Escoramento de formas.</v>
          </cell>
          <cell r="E131" t="str">
            <v>m2</v>
          </cell>
          <cell r="F131">
            <v>11.18</v>
          </cell>
          <cell r="G131">
            <v>3090</v>
          </cell>
        </row>
        <row r="132">
          <cell r="B132" t="str">
            <v>ET10050100</v>
          </cell>
          <cell r="C132">
            <v>127</v>
          </cell>
          <cell r="D132" t="str">
            <v>Aço CA-50 diâmetro de 6,3mm.</v>
          </cell>
          <cell r="E132" t="str">
            <v>kg</v>
          </cell>
          <cell r="F132">
            <v>2.64</v>
          </cell>
          <cell r="G132">
            <v>4750</v>
          </cell>
        </row>
        <row r="133">
          <cell r="B133" t="str">
            <v>ET10050103</v>
          </cell>
          <cell r="C133">
            <v>128</v>
          </cell>
          <cell r="D133" t="str">
            <v>Aço CA-50 diâmetro de 8mm.</v>
          </cell>
          <cell r="E133" t="str">
            <v>kg</v>
          </cell>
          <cell r="F133">
            <v>2.46</v>
          </cell>
          <cell r="G133">
            <v>1250</v>
          </cell>
        </row>
        <row r="134">
          <cell r="B134" t="str">
            <v>ET10050106</v>
          </cell>
          <cell r="C134">
            <v>129</v>
          </cell>
          <cell r="D134" t="str">
            <v>Aço CA-50 diâmetro de 10mm.</v>
          </cell>
          <cell r="E134" t="str">
            <v>kg</v>
          </cell>
          <cell r="F134">
            <v>2.2000000000000002</v>
          </cell>
          <cell r="G134">
            <v>7950</v>
          </cell>
        </row>
        <row r="135">
          <cell r="B135" t="str">
            <v>ET10050109</v>
          </cell>
          <cell r="C135">
            <v>130</v>
          </cell>
          <cell r="D135" t="str">
            <v>Aço CA-50 diâmetro de 12,5mm.</v>
          </cell>
          <cell r="E135" t="str">
            <v>kg</v>
          </cell>
          <cell r="F135">
            <v>2.1800000000000002</v>
          </cell>
          <cell r="G135">
            <v>5400</v>
          </cell>
        </row>
        <row r="136">
          <cell r="B136" t="str">
            <v>ET10050112</v>
          </cell>
          <cell r="C136">
            <v>131</v>
          </cell>
          <cell r="D136" t="str">
            <v>Aço CA-50 diâmetro de 16mm.</v>
          </cell>
          <cell r="E136" t="str">
            <v>kg</v>
          </cell>
          <cell r="F136">
            <v>2.1800000000000002</v>
          </cell>
          <cell r="G136">
            <v>2700</v>
          </cell>
        </row>
        <row r="137">
          <cell r="B137" t="str">
            <v>ET10050118</v>
          </cell>
          <cell r="C137">
            <v>132</v>
          </cell>
          <cell r="D137" t="str">
            <v>Aço CA-50 diâmetro de 25mm.</v>
          </cell>
          <cell r="E137" t="str">
            <v>kg</v>
          </cell>
          <cell r="F137">
            <v>2.19</v>
          </cell>
          <cell r="G137">
            <v>1400</v>
          </cell>
        </row>
        <row r="138">
          <cell r="B138" t="str">
            <v>ET10100056</v>
          </cell>
          <cell r="C138">
            <v>133</v>
          </cell>
          <cell r="D138" t="str">
            <v>Corte, dobragem, montagem aço CA-50 ø 6,3mm.</v>
          </cell>
          <cell r="E138" t="str">
            <v>kg</v>
          </cell>
          <cell r="F138">
            <v>1.28</v>
          </cell>
          <cell r="G138">
            <v>4750</v>
          </cell>
        </row>
        <row r="139">
          <cell r="B139" t="str">
            <v>ET10100062</v>
          </cell>
          <cell r="C139">
            <v>134</v>
          </cell>
          <cell r="D139" t="str">
            <v>Corte, dobragem, montagem aço CA-50 ø 12,5mm.</v>
          </cell>
          <cell r="E139" t="str">
            <v>kg</v>
          </cell>
          <cell r="F139">
            <v>0.96</v>
          </cell>
          <cell r="G139">
            <v>9450</v>
          </cell>
        </row>
        <row r="140">
          <cell r="B140" t="str">
            <v>ET10100065</v>
          </cell>
          <cell r="C140">
            <v>135</v>
          </cell>
          <cell r="D140" t="str">
            <v>Corte, dobragem, montagem aço CA-50 ø 6,3 a 12,5mm.</v>
          </cell>
          <cell r="E140" t="str">
            <v>kg</v>
          </cell>
          <cell r="F140">
            <v>1.1100000000000001</v>
          </cell>
          <cell r="G140">
            <v>13950</v>
          </cell>
        </row>
        <row r="141">
          <cell r="B141" t="str">
            <v>ET05250653</v>
          </cell>
          <cell r="C141">
            <v>136</v>
          </cell>
          <cell r="D141" t="str">
            <v>Lançamento de concreto.</v>
          </cell>
          <cell r="E141" t="str">
            <v>m3</v>
          </cell>
          <cell r="F141">
            <v>22.57</v>
          </cell>
          <cell r="G141">
            <v>187</v>
          </cell>
        </row>
        <row r="142">
          <cell r="B142" t="str">
            <v>ET45100071</v>
          </cell>
          <cell r="C142">
            <v>137</v>
          </cell>
          <cell r="D142" t="str">
            <v>Concreto bombeado usinado fck=30MPa.</v>
          </cell>
          <cell r="E142" t="str">
            <v>m3</v>
          </cell>
          <cell r="F142">
            <v>297.16000000000003</v>
          </cell>
          <cell r="G142">
            <v>195</v>
          </cell>
        </row>
        <row r="143">
          <cell r="B143" t="str">
            <v>ET60050059</v>
          </cell>
          <cell r="C143">
            <v>138</v>
          </cell>
          <cell r="D143" t="str">
            <v>Concreto usinado de 18MPa.</v>
          </cell>
          <cell r="E143" t="str">
            <v>m3</v>
          </cell>
          <cell r="F143">
            <v>185.77</v>
          </cell>
          <cell r="G143">
            <v>187</v>
          </cell>
        </row>
        <row r="144">
          <cell r="B144" t="str">
            <v>ET25050300</v>
          </cell>
          <cell r="C144">
            <v>139</v>
          </cell>
          <cell r="D144" t="str">
            <v>Fornecimento e montagem de estruturas metálicas.</v>
          </cell>
          <cell r="E144" t="str">
            <v>t</v>
          </cell>
          <cell r="F144">
            <v>7186.39</v>
          </cell>
          <cell r="G144">
            <v>36</v>
          </cell>
        </row>
        <row r="145">
          <cell r="B145" t="str">
            <v>ET25050450</v>
          </cell>
          <cell r="C145">
            <v>140</v>
          </cell>
          <cell r="D145" t="str">
            <v>Peças em chapa de aço 3/8", galvanizadas.</v>
          </cell>
          <cell r="E145" t="str">
            <v>Kg</v>
          </cell>
          <cell r="F145">
            <v>3.99</v>
          </cell>
          <cell r="G145">
            <v>2166</v>
          </cell>
        </row>
        <row r="146">
          <cell r="B146" t="str">
            <v>ET25050453</v>
          </cell>
          <cell r="C146">
            <v>141</v>
          </cell>
          <cell r="D146" t="str">
            <v>Peças em chapa de aço 3/8", galvanizadas.</v>
          </cell>
          <cell r="E146" t="str">
            <v>Kg</v>
          </cell>
          <cell r="F146">
            <v>4.26</v>
          </cell>
          <cell r="G146">
            <v>2078</v>
          </cell>
        </row>
        <row r="147">
          <cell r="B147" t="str">
            <v>ET25050456</v>
          </cell>
          <cell r="C147">
            <v>142</v>
          </cell>
          <cell r="D147" t="str">
            <v>Peças em chapa de aço 3/8", galvanizadas.</v>
          </cell>
          <cell r="E147" t="str">
            <v>Kg</v>
          </cell>
          <cell r="F147">
            <v>4.16</v>
          </cell>
          <cell r="G147">
            <v>1820</v>
          </cell>
        </row>
        <row r="148">
          <cell r="B148" t="str">
            <v>ET50050250</v>
          </cell>
          <cell r="C148">
            <v>143</v>
          </cell>
          <cell r="D148" t="str">
            <v>Muro de contenção em solo reforçado.</v>
          </cell>
          <cell r="E148" t="str">
            <v>m2</v>
          </cell>
          <cell r="F148">
            <v>145.63</v>
          </cell>
          <cell r="G148">
            <v>144</v>
          </cell>
        </row>
        <row r="149">
          <cell r="B149" t="str">
            <v>ET55100100</v>
          </cell>
          <cell r="C149">
            <v>144</v>
          </cell>
          <cell r="D149" t="str">
            <v>Canal pré-fabricado, em concreto armado seção U.</v>
          </cell>
          <cell r="E149" t="str">
            <v>m2</v>
          </cell>
          <cell r="F149">
            <v>384.26</v>
          </cell>
          <cell r="G149">
            <v>86</v>
          </cell>
        </row>
        <row r="150">
          <cell r="B150" t="str">
            <v>ET55100150</v>
          </cell>
          <cell r="C150">
            <v>145</v>
          </cell>
          <cell r="D150" t="str">
            <v>Cobertura de canal pré-fabricado em concreto armado.</v>
          </cell>
          <cell r="E150" t="str">
            <v>m2</v>
          </cell>
          <cell r="F150">
            <v>435.06</v>
          </cell>
          <cell r="G150">
            <v>58</v>
          </cell>
        </row>
        <row r="151">
          <cell r="B151" t="str">
            <v>ES05250359</v>
          </cell>
          <cell r="C151">
            <v>146</v>
          </cell>
          <cell r="D151" t="str">
            <v>Gradil em tubo de ferro galvanizado de 1 1/4".</v>
          </cell>
          <cell r="E151" t="str">
            <v>m</v>
          </cell>
          <cell r="F151">
            <v>338.32</v>
          </cell>
          <cell r="G151">
            <v>144</v>
          </cell>
        </row>
        <row r="152">
          <cell r="B152" t="str">
            <v>ES10250150</v>
          </cell>
          <cell r="C152">
            <v>147</v>
          </cell>
          <cell r="D152" t="str">
            <v xml:space="preserve">Peça em Angelim ou similar, de 2"x1".Fornecimento. </v>
          </cell>
          <cell r="E152" t="str">
            <v>m</v>
          </cell>
          <cell r="F152">
            <v>2.14</v>
          </cell>
          <cell r="G152">
            <v>150</v>
          </cell>
        </row>
        <row r="153">
          <cell r="B153" t="str">
            <v>ES10250200</v>
          </cell>
          <cell r="C153">
            <v>148</v>
          </cell>
          <cell r="D153" t="str">
            <v xml:space="preserve">Peça em Ipê ou similar, de 2"x8".  Fornecimento.    </v>
          </cell>
          <cell r="E153" t="str">
            <v>m</v>
          </cell>
          <cell r="F153">
            <v>30.26</v>
          </cell>
          <cell r="G153">
            <v>200</v>
          </cell>
        </row>
        <row r="154">
          <cell r="B154" t="str">
            <v>ES10250262</v>
          </cell>
          <cell r="C154">
            <v>149</v>
          </cell>
          <cell r="D154" t="str">
            <v>Peça em Maçaranduba ou similar, serrada, de 3"x6".</v>
          </cell>
          <cell r="E154" t="str">
            <v>m</v>
          </cell>
          <cell r="F154">
            <v>8.66</v>
          </cell>
          <cell r="G154">
            <v>100</v>
          </cell>
        </row>
        <row r="155">
          <cell r="B155" t="str">
            <v>ES99990050</v>
          </cell>
          <cell r="C155">
            <v>150</v>
          </cell>
          <cell r="D155" t="str">
            <v>Arruela de 5/16", inclusive transporte até a obra.</v>
          </cell>
          <cell r="E155" t="str">
            <v>un</v>
          </cell>
          <cell r="F155">
            <v>0.02</v>
          </cell>
          <cell r="G155">
            <v>863</v>
          </cell>
        </row>
        <row r="156">
          <cell r="B156" t="str">
            <v>ES99990700</v>
          </cell>
          <cell r="C156">
            <v>151</v>
          </cell>
          <cell r="D156" t="str">
            <v>Parafuso de (8x250)mm.</v>
          </cell>
          <cell r="E156" t="str">
            <v>un</v>
          </cell>
          <cell r="F156">
            <v>0.78</v>
          </cell>
          <cell r="G156">
            <v>863</v>
          </cell>
        </row>
        <row r="157">
          <cell r="B157" t="str">
            <v>ES99990800</v>
          </cell>
          <cell r="C157">
            <v>152</v>
          </cell>
          <cell r="D157" t="str">
            <v>Porca de 5/16", inclusive transporte até a obra.</v>
          </cell>
          <cell r="E157" t="str">
            <v>un</v>
          </cell>
          <cell r="F157">
            <v>0.04</v>
          </cell>
          <cell r="G157">
            <v>863</v>
          </cell>
        </row>
        <row r="158">
          <cell r="B158" t="str">
            <v>ES99990900</v>
          </cell>
          <cell r="C158">
            <v>153</v>
          </cell>
          <cell r="D158" t="str">
            <v>Prego com cabeça chata 23x54, em caixa de 100Kg.</v>
          </cell>
          <cell r="E158" t="str">
            <v>Kg</v>
          </cell>
          <cell r="F158">
            <v>3.01</v>
          </cell>
          <cell r="G158">
            <v>332</v>
          </cell>
        </row>
        <row r="159">
          <cell r="B159" t="str">
            <v>IT25100112</v>
          </cell>
          <cell r="C159">
            <v>154</v>
          </cell>
          <cell r="D159" t="str">
            <v>Kanalex diâmetro de 50mm (2" ).</v>
          </cell>
          <cell r="E159" t="str">
            <v>m</v>
          </cell>
          <cell r="F159">
            <v>4.55</v>
          </cell>
          <cell r="G159">
            <v>356</v>
          </cell>
        </row>
        <row r="160">
          <cell r="B160" t="str">
            <v>IT25100115</v>
          </cell>
          <cell r="C160">
            <v>155</v>
          </cell>
          <cell r="D160" t="str">
            <v>Kanalex diâmetro de 75mm (3" ).</v>
          </cell>
          <cell r="E160" t="str">
            <v>m</v>
          </cell>
          <cell r="F160">
            <v>5.98</v>
          </cell>
          <cell r="G160">
            <v>1766</v>
          </cell>
        </row>
        <row r="161">
          <cell r="B161" t="str">
            <v>IT25100118</v>
          </cell>
          <cell r="C161">
            <v>156</v>
          </cell>
          <cell r="D161" t="str">
            <v>Kanalex diâmetro de 100mm (4" ).</v>
          </cell>
          <cell r="E161" t="str">
            <v>m</v>
          </cell>
          <cell r="F161">
            <v>7.02</v>
          </cell>
          <cell r="G161">
            <v>2554</v>
          </cell>
        </row>
        <row r="162">
          <cell r="B162" t="str">
            <v>IT25100159</v>
          </cell>
          <cell r="C162">
            <v>157</v>
          </cell>
          <cell r="D162" t="str">
            <v>Linha dupla de Kanalex diâmetro de 75mm (3" ).</v>
          </cell>
          <cell r="E162" t="str">
            <v>m</v>
          </cell>
          <cell r="F162">
            <v>10.52</v>
          </cell>
          <cell r="G162">
            <v>3705</v>
          </cell>
        </row>
        <row r="163">
          <cell r="B163" t="str">
            <v>IT25100162</v>
          </cell>
          <cell r="C163">
            <v>158</v>
          </cell>
          <cell r="D163" t="str">
            <v>Linha dupla de Kanalex diâmetro de 100mm (4" ).</v>
          </cell>
          <cell r="E163" t="str">
            <v>m</v>
          </cell>
          <cell r="F163">
            <v>21.87</v>
          </cell>
          <cell r="G163">
            <v>6000</v>
          </cell>
        </row>
        <row r="164">
          <cell r="B164" t="str">
            <v xml:space="preserve"> IT25100165</v>
          </cell>
          <cell r="C164">
            <v>159</v>
          </cell>
          <cell r="D164" t="str">
            <v>Linha dupla de Kanalex diâmetro de 125mm (5" ).</v>
          </cell>
          <cell r="E164" t="str">
            <v>m</v>
          </cell>
          <cell r="F164">
            <v>29.6</v>
          </cell>
          <cell r="G164">
            <v>4000</v>
          </cell>
        </row>
        <row r="165">
          <cell r="B165" t="str">
            <v xml:space="preserve"> IT25340321</v>
          </cell>
          <cell r="C165">
            <v>160</v>
          </cell>
          <cell r="D165" t="str">
            <v>Cabo de cobre rígido, seção de 35mm2 XLPE.</v>
          </cell>
          <cell r="E165" t="str">
            <v>m</v>
          </cell>
          <cell r="F165">
            <v>11.38</v>
          </cell>
          <cell r="G165">
            <v>2842</v>
          </cell>
        </row>
        <row r="166">
          <cell r="B166" t="str">
            <v>IT25700100</v>
          </cell>
          <cell r="C166">
            <v>161</v>
          </cell>
          <cell r="D166" t="str">
            <v>Haste para aterramento, de cobre, de 5/8", com 3m.</v>
          </cell>
          <cell r="E166" t="str">
            <v xml:space="preserve"> un</v>
          </cell>
          <cell r="F166">
            <v>60.94</v>
          </cell>
          <cell r="G166">
            <v>29</v>
          </cell>
        </row>
        <row r="167">
          <cell r="B167" t="str">
            <v>IT25990100</v>
          </cell>
          <cell r="C167">
            <v>162</v>
          </cell>
          <cell r="D167" t="str">
            <v>Base de ferro retangular, para caixa subterrânea.</v>
          </cell>
          <cell r="E167" t="str">
            <v xml:space="preserve"> un</v>
          </cell>
          <cell r="F167">
            <v>117.72</v>
          </cell>
          <cell r="G167">
            <v>55</v>
          </cell>
        </row>
        <row r="168">
          <cell r="B168" t="str">
            <v>IT25990103</v>
          </cell>
          <cell r="C168">
            <v>163</v>
          </cell>
          <cell r="D168" t="str">
            <v>Tampa de ferro retangular, medindo (1,07x0,52)m.</v>
          </cell>
          <cell r="E168" t="str">
            <v xml:space="preserve"> un</v>
          </cell>
          <cell r="F168">
            <v>231.13</v>
          </cell>
          <cell r="G168">
            <v>55</v>
          </cell>
        </row>
        <row r="169">
          <cell r="B169" t="str">
            <v>RV15200409</v>
          </cell>
          <cell r="C169">
            <v>164</v>
          </cell>
          <cell r="D169" t="str">
            <v>Revestimento com granito Cinza flameado.</v>
          </cell>
          <cell r="E169" t="str">
            <v>m2</v>
          </cell>
          <cell r="F169">
            <v>82.41</v>
          </cell>
          <cell r="G169">
            <v>152</v>
          </cell>
        </row>
        <row r="170">
          <cell r="B170" t="str">
            <v>RV15250103</v>
          </cell>
          <cell r="C170">
            <v>165</v>
          </cell>
          <cell r="D170" t="str">
            <v>Piso de concreto simples,8cm de espessura.</v>
          </cell>
          <cell r="E170" t="str">
            <v>m2</v>
          </cell>
          <cell r="F170">
            <v>24.65</v>
          </cell>
          <cell r="G170">
            <v>1095</v>
          </cell>
        </row>
        <row r="171">
          <cell r="B171" t="str">
            <v>CI05750050</v>
          </cell>
          <cell r="C171">
            <v>166</v>
          </cell>
          <cell r="D171" t="str">
            <v>Cabine para quiosque em Fiber-Glass.</v>
          </cell>
          <cell r="E171" t="str">
            <v xml:space="preserve"> un   </v>
          </cell>
          <cell r="F171">
            <v>12250.73</v>
          </cell>
          <cell r="G171">
            <v>6</v>
          </cell>
        </row>
        <row r="172">
          <cell r="B172" t="str">
            <v>PT05300250</v>
          </cell>
          <cell r="C172">
            <v>167</v>
          </cell>
          <cell r="D172" t="str">
            <v>Pintura sobre concreto com uma demão de Primer.</v>
          </cell>
          <cell r="E172" t="str">
            <v>m2</v>
          </cell>
          <cell r="F172">
            <v>9.09</v>
          </cell>
          <cell r="G172">
            <v>542</v>
          </cell>
        </row>
        <row r="173">
          <cell r="B173" t="str">
            <v>PT05400106</v>
          </cell>
          <cell r="C173">
            <v>168</v>
          </cell>
          <cell r="D173" t="str">
            <v>Pintura interna ou externa sobre ferro, com esmalte.</v>
          </cell>
          <cell r="E173" t="str">
            <v>m2</v>
          </cell>
          <cell r="F173">
            <v>7.86</v>
          </cell>
          <cell r="G173">
            <v>1262</v>
          </cell>
        </row>
        <row r="174">
          <cell r="B174" t="str">
            <v>DR05200050</v>
          </cell>
          <cell r="C174">
            <v>169</v>
          </cell>
          <cell r="D174" t="str">
            <v>Tubo de concreto armado com diametro de 0,40m.</v>
          </cell>
          <cell r="E174" t="str">
            <v>m</v>
          </cell>
          <cell r="F174">
            <v>43.02</v>
          </cell>
          <cell r="G174">
            <v>768</v>
          </cell>
        </row>
        <row r="175">
          <cell r="B175" t="str">
            <v>DR05200100</v>
          </cell>
          <cell r="C175">
            <v>170</v>
          </cell>
          <cell r="D175" t="str">
            <v>Tubo de concreto armado com diâmetro de 0,50m.</v>
          </cell>
          <cell r="E175" t="str">
            <v>m</v>
          </cell>
          <cell r="F175">
            <v>62.61</v>
          </cell>
          <cell r="G175">
            <v>290</v>
          </cell>
        </row>
        <row r="176">
          <cell r="B176" t="str">
            <v>DR05200150</v>
          </cell>
          <cell r="C176">
            <v>171</v>
          </cell>
          <cell r="D176" t="str">
            <v>Tubo de concreto armado com diâmetro de 0,60m.</v>
          </cell>
          <cell r="E176" t="str">
            <v>m</v>
          </cell>
          <cell r="F176">
            <v>71.53</v>
          </cell>
          <cell r="G176">
            <v>54</v>
          </cell>
        </row>
        <row r="177">
          <cell r="B177" t="str">
            <v>DR05200200</v>
          </cell>
          <cell r="C177">
            <v>172</v>
          </cell>
          <cell r="D177" t="str">
            <v>Tubo de concreto armado com diâmetro de 0,70m.</v>
          </cell>
          <cell r="E177" t="str">
            <v>m</v>
          </cell>
          <cell r="F177">
            <v>106.59</v>
          </cell>
          <cell r="G177">
            <v>264</v>
          </cell>
        </row>
        <row r="178">
          <cell r="B178" t="str">
            <v>DR05200250</v>
          </cell>
          <cell r="C178">
            <v>173</v>
          </cell>
          <cell r="D178" t="str">
            <v>Tubo de concreto armado com diâmetro de 0,80m.</v>
          </cell>
          <cell r="E178" t="str">
            <v>m</v>
          </cell>
          <cell r="F178">
            <v>113.63</v>
          </cell>
          <cell r="G178">
            <v>38</v>
          </cell>
        </row>
        <row r="179">
          <cell r="B179" t="str">
            <v>DR05200350</v>
          </cell>
          <cell r="C179">
            <v>174</v>
          </cell>
          <cell r="D179" t="str">
            <v>Tubo de concreto armado com diametro de 1m.</v>
          </cell>
          <cell r="E179" t="str">
            <v>m</v>
          </cell>
          <cell r="F179">
            <v>189.28</v>
          </cell>
          <cell r="G179">
            <v>320</v>
          </cell>
        </row>
        <row r="180">
          <cell r="B180" t="str">
            <v>DR05200500</v>
          </cell>
          <cell r="C180">
            <v>175</v>
          </cell>
          <cell r="D180" t="str">
            <v>Tubo de concreto armado com diâmetro de 1,50m.</v>
          </cell>
          <cell r="E180" t="str">
            <v>m</v>
          </cell>
          <cell r="F180">
            <v>400.58</v>
          </cell>
          <cell r="G180">
            <v>214</v>
          </cell>
        </row>
        <row r="181">
          <cell r="B181" t="str">
            <v>DR05400100</v>
          </cell>
          <cell r="C181">
            <v>176</v>
          </cell>
          <cell r="D181" t="str">
            <v>Tubo de PVC rígido Vinilfort, diâmetro de 150mm.</v>
          </cell>
          <cell r="E181" t="str">
            <v>m</v>
          </cell>
          <cell r="F181">
            <v>19.47</v>
          </cell>
          <cell r="G181">
            <v>1643</v>
          </cell>
        </row>
        <row r="182">
          <cell r="B182" t="str">
            <v>DR05400150</v>
          </cell>
          <cell r="C182">
            <v>177</v>
          </cell>
          <cell r="D182" t="str">
            <v>Tubo de PVC rígido Vinilfort, diâmetro de 200mm.</v>
          </cell>
          <cell r="E182" t="str">
            <v>m</v>
          </cell>
          <cell r="F182">
            <v>27.22</v>
          </cell>
          <cell r="G182">
            <v>263</v>
          </cell>
        </row>
        <row r="183">
          <cell r="B183" t="str">
            <v>DR10050065</v>
          </cell>
          <cell r="C183">
            <v>178</v>
          </cell>
          <cell r="D183" t="str">
            <v>Tubo de ferro fundido K-9, diâmetro de 300mm.</v>
          </cell>
          <cell r="E183" t="str">
            <v>m</v>
          </cell>
          <cell r="F183">
            <v>370.29</v>
          </cell>
          <cell r="G183">
            <v>200</v>
          </cell>
        </row>
        <row r="184">
          <cell r="B184" t="str">
            <v>DR20100050</v>
          </cell>
          <cell r="C184">
            <v>179</v>
          </cell>
          <cell r="D184" t="str">
            <v>Poço de visita de (1,20x1,20x1,40)m ø 0,40 a 0,70m.</v>
          </cell>
          <cell r="E184" t="str">
            <v xml:space="preserve"> un</v>
          </cell>
          <cell r="F184">
            <v>704.13</v>
          </cell>
          <cell r="G184">
            <v>22</v>
          </cell>
        </row>
        <row r="185">
          <cell r="B185" t="str">
            <v>DR20100053</v>
          </cell>
          <cell r="C185">
            <v>180</v>
          </cell>
          <cell r="D185" t="str">
            <v>Poço de visita de (1,30 x1,30 x1,40)m ø de 0,80 m.</v>
          </cell>
          <cell r="E185" t="str">
            <v xml:space="preserve"> un</v>
          </cell>
          <cell r="F185">
            <v>750.69</v>
          </cell>
          <cell r="G185">
            <v>2</v>
          </cell>
        </row>
        <row r="186">
          <cell r="B186" t="str">
            <v>DR20100059</v>
          </cell>
          <cell r="C186">
            <v>181</v>
          </cell>
          <cell r="D186" t="str">
            <v>Poço de visita de (1.50x1.50x1.60)m ø1,00 m.</v>
          </cell>
          <cell r="E186" t="str">
            <v xml:space="preserve"> un</v>
          </cell>
          <cell r="F186">
            <v>948.69</v>
          </cell>
          <cell r="G186">
            <v>11</v>
          </cell>
        </row>
        <row r="187">
          <cell r="B187" t="str">
            <v>DR20100068</v>
          </cell>
          <cell r="C187">
            <v>182</v>
          </cell>
          <cell r="D187" t="str">
            <v>Poço de vista de ( 2x 2x2,10)m ø1,50m.</v>
          </cell>
          <cell r="E187" t="str">
            <v xml:space="preserve"> un</v>
          </cell>
          <cell r="F187">
            <v>1525.88</v>
          </cell>
          <cell r="G187">
            <v>7</v>
          </cell>
        </row>
        <row r="188">
          <cell r="B188" t="str">
            <v>DR20150053</v>
          </cell>
          <cell r="C188">
            <v>183</v>
          </cell>
          <cell r="D188" t="str">
            <v>Poço de visita para esgoto sanitário de 1m .</v>
          </cell>
          <cell r="E188" t="str">
            <v xml:space="preserve"> un</v>
          </cell>
          <cell r="F188">
            <v>129.63</v>
          </cell>
          <cell r="G188">
            <v>2</v>
          </cell>
        </row>
        <row r="189">
          <cell r="B189" t="str">
            <v>DR20150056</v>
          </cell>
          <cell r="C189">
            <v>184</v>
          </cell>
          <cell r="D189" t="str">
            <v xml:space="preserve">Poço de visita para esgoto sanitário de 1,05m.                      </v>
          </cell>
          <cell r="E189" t="str">
            <v xml:space="preserve"> un</v>
          </cell>
          <cell r="F189">
            <v>303.89</v>
          </cell>
          <cell r="G189">
            <v>1</v>
          </cell>
        </row>
        <row r="190">
          <cell r="B190" t="str">
            <v>DR20150059</v>
          </cell>
          <cell r="C190">
            <v>185</v>
          </cell>
          <cell r="D190" t="str">
            <v xml:space="preserve">Poço de visita para esgoto sanitário de 1,20m.  </v>
          </cell>
          <cell r="E190" t="str">
            <v xml:space="preserve"> un</v>
          </cell>
          <cell r="F190">
            <v>337.88</v>
          </cell>
          <cell r="G190">
            <v>15</v>
          </cell>
        </row>
        <row r="191">
          <cell r="B191" t="str">
            <v>DR20150062</v>
          </cell>
          <cell r="C191">
            <v>186</v>
          </cell>
          <cell r="D191" t="str">
            <v xml:space="preserve">Poço de visita de esgoto sanitário de 1,40m.      </v>
          </cell>
          <cell r="E191" t="str">
            <v xml:space="preserve"> un</v>
          </cell>
          <cell r="F191">
            <v>387.67</v>
          </cell>
          <cell r="G191">
            <v>5</v>
          </cell>
        </row>
        <row r="192">
          <cell r="B192" t="str">
            <v>DR20150065</v>
          </cell>
          <cell r="C192">
            <v>187</v>
          </cell>
          <cell r="D192" t="str">
            <v xml:space="preserve">Poço de visita de esgoto sanitário de 1,50m.  </v>
          </cell>
          <cell r="E192" t="str">
            <v xml:space="preserve"> un</v>
          </cell>
          <cell r="F192">
            <v>412.76</v>
          </cell>
          <cell r="G192">
            <v>7</v>
          </cell>
        </row>
        <row r="193">
          <cell r="B193" t="str">
            <v>DR20150068</v>
          </cell>
          <cell r="C193">
            <v>188</v>
          </cell>
          <cell r="D193" t="str">
            <v xml:space="preserve">Poço de visita de esgoto sanitário de 1,60m.          </v>
          </cell>
          <cell r="E193" t="str">
            <v xml:space="preserve"> un</v>
          </cell>
          <cell r="F193">
            <v>416.03</v>
          </cell>
          <cell r="G193">
            <v>4</v>
          </cell>
        </row>
        <row r="194">
          <cell r="B194" t="str">
            <v>DR20150071</v>
          </cell>
          <cell r="C194">
            <v>189</v>
          </cell>
          <cell r="D194" t="str">
            <v xml:space="preserve">Poço de visita de esgoto sanitário de 1,70m.   </v>
          </cell>
          <cell r="E194" t="str">
            <v xml:space="preserve"> un</v>
          </cell>
          <cell r="F194">
            <v>450.56</v>
          </cell>
          <cell r="G194">
            <v>2</v>
          </cell>
        </row>
        <row r="195">
          <cell r="B195" t="str">
            <v>DR20150074</v>
          </cell>
          <cell r="C195">
            <v>190</v>
          </cell>
          <cell r="D195" t="str">
            <v xml:space="preserve">Poço de visita de esgoto sanitário de 2m.       </v>
          </cell>
          <cell r="E195" t="str">
            <v xml:space="preserve"> un</v>
          </cell>
          <cell r="F195">
            <v>479.14</v>
          </cell>
          <cell r="G195">
            <v>12</v>
          </cell>
        </row>
        <row r="196">
          <cell r="B196" t="str">
            <v>DR20150077</v>
          </cell>
          <cell r="C196">
            <v>191</v>
          </cell>
          <cell r="D196" t="str">
            <v xml:space="preserve">Poço de visita de esgoto sanitário de 2,30m.        </v>
          </cell>
          <cell r="E196" t="str">
            <v xml:space="preserve"> un</v>
          </cell>
          <cell r="F196">
            <v>518.35</v>
          </cell>
          <cell r="G196">
            <v>2</v>
          </cell>
        </row>
        <row r="197">
          <cell r="B197" t="str">
            <v>DR30150103</v>
          </cell>
          <cell r="C197">
            <v>192</v>
          </cell>
          <cell r="D197" t="str">
            <v>Caixa de ralo de blocos de concreto prensado.</v>
          </cell>
          <cell r="E197" t="str">
            <v xml:space="preserve"> un</v>
          </cell>
          <cell r="F197">
            <v>541.29999999999995</v>
          </cell>
          <cell r="G197">
            <v>135</v>
          </cell>
        </row>
        <row r="198">
          <cell r="B198" t="str">
            <v>DR05300100</v>
          </cell>
          <cell r="C198">
            <v>193</v>
          </cell>
          <cell r="D198" t="str">
            <v>Manilha cerâmica vidrada, com diâmetro 0,15m.</v>
          </cell>
          <cell r="E198" t="str">
            <v>m</v>
          </cell>
          <cell r="F198">
            <v>16.14</v>
          </cell>
          <cell r="G198">
            <v>1240</v>
          </cell>
        </row>
        <row r="199">
          <cell r="B199" t="str">
            <v>DR35050250</v>
          </cell>
          <cell r="C199">
            <v>194</v>
          </cell>
          <cell r="D199" t="str">
            <v>Tampão de ferro fundido completo pesado, de 0,60m.</v>
          </cell>
          <cell r="E199" t="str">
            <v xml:space="preserve"> un</v>
          </cell>
          <cell r="F199">
            <v>209.66</v>
          </cell>
          <cell r="G199">
            <v>140</v>
          </cell>
        </row>
        <row r="200">
          <cell r="B200" t="str">
            <v>DR35050300</v>
          </cell>
          <cell r="C200">
            <v>195</v>
          </cell>
          <cell r="D200" t="str">
            <v>Tampão de ferro fundido completo, de 3 seções.</v>
          </cell>
          <cell r="E200" t="str">
            <v xml:space="preserve"> un</v>
          </cell>
          <cell r="F200">
            <v>1659.65</v>
          </cell>
          <cell r="G200">
            <v>9</v>
          </cell>
        </row>
        <row r="201">
          <cell r="B201" t="str">
            <v>DR55050450</v>
          </cell>
          <cell r="C201">
            <v>196</v>
          </cell>
          <cell r="D201" t="str">
            <v>Embasamento de tubulação, feito com pó-de-pedra.</v>
          </cell>
          <cell r="E201" t="str">
            <v>m3</v>
          </cell>
          <cell r="F201">
            <v>47.35</v>
          </cell>
          <cell r="G201">
            <v>200</v>
          </cell>
        </row>
        <row r="202">
          <cell r="B202" t="str">
            <v>DR75050077</v>
          </cell>
          <cell r="C202">
            <v>197</v>
          </cell>
          <cell r="D202" t="str">
            <v>Levantamento limpeza reassentamento tubos ø1,50m.</v>
          </cell>
          <cell r="E202" t="str">
            <v>m</v>
          </cell>
          <cell r="F202">
            <v>137.80000000000001</v>
          </cell>
          <cell r="G202">
            <v>576</v>
          </cell>
        </row>
        <row r="203">
          <cell r="B203" t="str">
            <v>BP05050050</v>
          </cell>
          <cell r="C203">
            <v>198</v>
          </cell>
          <cell r="D203" t="str">
            <v>Base de brita corrida.</v>
          </cell>
          <cell r="E203" t="str">
            <v>m3</v>
          </cell>
          <cell r="F203">
            <v>35.47</v>
          </cell>
          <cell r="G203">
            <v>7200</v>
          </cell>
        </row>
        <row r="204">
          <cell r="B204" t="str">
            <v>BP05050400A</v>
          </cell>
          <cell r="C204">
            <v>199</v>
          </cell>
          <cell r="D204" t="str">
            <v>Imprimação de base de pavimentação.</v>
          </cell>
          <cell r="E204" t="str">
            <v>m2</v>
          </cell>
          <cell r="F204">
            <v>2.04</v>
          </cell>
          <cell r="G204">
            <v>23998</v>
          </cell>
        </row>
        <row r="205">
          <cell r="B205" t="str">
            <v>BP05050100</v>
          </cell>
          <cell r="C205">
            <v>200</v>
          </cell>
          <cell r="D205" t="str">
            <v>Camada de bloqueio (colchão) de areia.</v>
          </cell>
          <cell r="E205" t="str">
            <v>m3</v>
          </cell>
          <cell r="F205">
            <v>29.11</v>
          </cell>
          <cell r="G205">
            <v>7200</v>
          </cell>
        </row>
        <row r="206">
          <cell r="B206" t="str">
            <v>BP05050103</v>
          </cell>
          <cell r="C206">
            <v>201</v>
          </cell>
          <cell r="D206" t="str">
            <v>Camada de bloqueio (colchão) de pó-de-pedra.</v>
          </cell>
          <cell r="E206" t="str">
            <v>m3</v>
          </cell>
          <cell r="F206">
            <v>31.41</v>
          </cell>
          <cell r="G206">
            <v>6000</v>
          </cell>
        </row>
        <row r="207">
          <cell r="B207" t="str">
            <v>BP10050659</v>
          </cell>
          <cell r="C207">
            <v>202</v>
          </cell>
          <cell r="D207" t="str">
            <v>Revestimento de CBUQ, com  10cm de espessura.</v>
          </cell>
          <cell r="E207" t="str">
            <v>m2</v>
          </cell>
          <cell r="F207">
            <v>24.98</v>
          </cell>
          <cell r="G207">
            <v>23998</v>
          </cell>
        </row>
        <row r="208">
          <cell r="B208" t="str">
            <v>BP10200368</v>
          </cell>
          <cell r="C208">
            <v>203</v>
          </cell>
          <cell r="D208" t="str">
            <v>Revestimento intertravado com peças de concreto.</v>
          </cell>
          <cell r="E208" t="str">
            <v>m2</v>
          </cell>
          <cell r="F208">
            <v>54.88</v>
          </cell>
          <cell r="G208">
            <v>18820</v>
          </cell>
        </row>
        <row r="209">
          <cell r="B209" t="str">
            <v>BP10250050</v>
          </cell>
          <cell r="C209">
            <v>204</v>
          </cell>
          <cell r="D209" t="str">
            <v>Paralelepípedos.Fornecimento.</v>
          </cell>
          <cell r="E209" t="str">
            <v xml:space="preserve"> un</v>
          </cell>
          <cell r="F209">
            <v>0.45</v>
          </cell>
          <cell r="G209">
            <v>2877</v>
          </cell>
        </row>
        <row r="210">
          <cell r="B210" t="str">
            <v>BP05050450</v>
          </cell>
          <cell r="C210">
            <v>205</v>
          </cell>
          <cell r="D210" t="str">
            <v>Regularização de subleito.</v>
          </cell>
          <cell r="E210" t="str">
            <v>m2</v>
          </cell>
          <cell r="F210">
            <v>0.41</v>
          </cell>
          <cell r="G210">
            <v>23998</v>
          </cell>
        </row>
        <row r="211">
          <cell r="B211" t="str">
            <v>BP20100053</v>
          </cell>
          <cell r="C211">
            <v>206</v>
          </cell>
          <cell r="D211" t="str">
            <v>Cordões de concreto simples, secção de (10x25)cm.</v>
          </cell>
          <cell r="E211" t="str">
            <v>m</v>
          </cell>
          <cell r="F211">
            <v>15.98</v>
          </cell>
          <cell r="G211">
            <v>864</v>
          </cell>
        </row>
        <row r="212">
          <cell r="B212" t="str">
            <v>BP05050250</v>
          </cell>
          <cell r="C212">
            <v>207</v>
          </cell>
          <cell r="D212" t="str">
            <v>Construção de aterro.</v>
          </cell>
          <cell r="E212" t="str">
            <v>m3</v>
          </cell>
          <cell r="F212">
            <v>1.1299999999999999</v>
          </cell>
          <cell r="G212">
            <v>5000</v>
          </cell>
        </row>
        <row r="213">
          <cell r="B213" t="str">
            <v>BP10050400A</v>
          </cell>
          <cell r="C213">
            <v>208</v>
          </cell>
          <cell r="D213" t="str">
            <v>Pintura de ligação.</v>
          </cell>
          <cell r="E213" t="str">
            <v>m2</v>
          </cell>
          <cell r="F213">
            <v>1.23</v>
          </cell>
          <cell r="G213">
            <v>23998</v>
          </cell>
        </row>
        <row r="214">
          <cell r="B214" t="str">
            <v>BP10050500</v>
          </cell>
          <cell r="C214">
            <v>209</v>
          </cell>
          <cell r="D214" t="str">
            <v>Recomposição de revestimento em concreto asfáltico.</v>
          </cell>
          <cell r="E214" t="str">
            <v>m2</v>
          </cell>
          <cell r="F214">
            <v>2.13</v>
          </cell>
          <cell r="G214">
            <v>2000</v>
          </cell>
        </row>
        <row r="215">
          <cell r="B215" t="str">
            <v>BP10150050</v>
          </cell>
          <cell r="C215">
            <v>210</v>
          </cell>
          <cell r="D215" t="str">
            <v>Junta de retração, serrada com disco de diamantes.</v>
          </cell>
          <cell r="E215" t="str">
            <v>m</v>
          </cell>
          <cell r="F215">
            <v>7.5</v>
          </cell>
          <cell r="G215">
            <v>415</v>
          </cell>
        </row>
        <row r="216">
          <cell r="B216" t="str">
            <v>BP10250050</v>
          </cell>
          <cell r="C216">
            <v>211</v>
          </cell>
          <cell r="D216" t="str">
            <v xml:space="preserve">Paralelepípedos.Fornecimento. </v>
          </cell>
          <cell r="E216" t="str">
            <v xml:space="preserve"> un</v>
          </cell>
          <cell r="F216">
            <v>0.45</v>
          </cell>
          <cell r="G216">
            <v>2877</v>
          </cell>
        </row>
        <row r="217">
          <cell r="B217" t="str">
            <v>BP15050050</v>
          </cell>
          <cell r="C217">
            <v>212</v>
          </cell>
          <cell r="D217" t="str">
            <v>Fresagem espessura de até 5cm.</v>
          </cell>
          <cell r="E217" t="str">
            <v>m2</v>
          </cell>
          <cell r="F217">
            <v>1.34</v>
          </cell>
          <cell r="G217">
            <v>16799</v>
          </cell>
        </row>
        <row r="218">
          <cell r="B218" t="str">
            <v>BP20150056</v>
          </cell>
          <cell r="C218">
            <v>213</v>
          </cell>
          <cell r="D218" t="str">
            <v>Sarjeta e meio-fio conjugados, de concreto simples.</v>
          </cell>
          <cell r="E218" t="str">
            <v>m</v>
          </cell>
          <cell r="F218">
            <v>44.43</v>
          </cell>
          <cell r="G218">
            <v>4315</v>
          </cell>
        </row>
        <row r="219">
          <cell r="B219" t="str">
            <v>PJ05100150</v>
          </cell>
          <cell r="C219">
            <v>214</v>
          </cell>
          <cell r="D219" t="str">
            <v>Plantio de grama em placas.</v>
          </cell>
          <cell r="E219" t="str">
            <v>m2</v>
          </cell>
          <cell r="F219">
            <v>6.48</v>
          </cell>
          <cell r="G219">
            <v>2213</v>
          </cell>
        </row>
        <row r="220">
          <cell r="B220" t="str">
            <v>PJ10050200</v>
          </cell>
          <cell r="C220">
            <v>215</v>
          </cell>
          <cell r="D220" t="str">
            <v>Plantio de árvore de 2m de altura.</v>
          </cell>
          <cell r="E220" t="str">
            <v xml:space="preserve"> un</v>
          </cell>
          <cell r="F220">
            <v>14.95</v>
          </cell>
          <cell r="G220">
            <v>283</v>
          </cell>
        </row>
        <row r="221">
          <cell r="B221" t="str">
            <v>PJ10150050</v>
          </cell>
          <cell r="C221">
            <v>216</v>
          </cell>
          <cell r="D221" t="str">
            <v>Árvores tipo 1 - Pseudobombax Ellipticum.</v>
          </cell>
          <cell r="E221" t="str">
            <v xml:space="preserve"> un</v>
          </cell>
          <cell r="F221">
            <v>12.9</v>
          </cell>
          <cell r="G221">
            <v>283</v>
          </cell>
        </row>
        <row r="222">
          <cell r="B222" t="str">
            <v>PJ10250056</v>
          </cell>
          <cell r="C222">
            <v>217</v>
          </cell>
          <cell r="D222" t="str">
            <v>Palmeira tipo 3 - Roystonea Oleracea.</v>
          </cell>
          <cell r="E222" t="str">
            <v xml:space="preserve"> un</v>
          </cell>
          <cell r="F222">
            <v>250</v>
          </cell>
          <cell r="G222">
            <v>20</v>
          </cell>
        </row>
        <row r="223">
          <cell r="B223" t="str">
            <v>PJ20100050</v>
          </cell>
          <cell r="C223">
            <v>218</v>
          </cell>
          <cell r="D223" t="str">
            <v>Arrancamento e replantio de árvore adulta.</v>
          </cell>
          <cell r="E223" t="str">
            <v xml:space="preserve"> un</v>
          </cell>
          <cell r="F223">
            <v>46.5</v>
          </cell>
          <cell r="G223">
            <v>32</v>
          </cell>
        </row>
        <row r="224">
          <cell r="B224" t="str">
            <v>PJ20100306</v>
          </cell>
          <cell r="C224">
            <v>219</v>
          </cell>
          <cell r="D224" t="str">
            <v>Remoção de árvore de grande porte.</v>
          </cell>
          <cell r="E224" t="str">
            <v xml:space="preserve"> un</v>
          </cell>
          <cell r="F224">
            <v>886.31</v>
          </cell>
          <cell r="G224">
            <v>10</v>
          </cell>
        </row>
        <row r="225">
          <cell r="B225" t="str">
            <v>PJ40100356</v>
          </cell>
          <cell r="C225">
            <v>220</v>
          </cell>
          <cell r="D225" t="str">
            <v>Tratamento fitossanitário em árvores.</v>
          </cell>
          <cell r="E225" t="str">
            <v xml:space="preserve"> un</v>
          </cell>
          <cell r="F225">
            <v>663.93</v>
          </cell>
          <cell r="G225">
            <v>100</v>
          </cell>
        </row>
        <row r="226">
          <cell r="B226" t="str">
            <v>PJ15050053</v>
          </cell>
          <cell r="C226">
            <v>221</v>
          </cell>
          <cell r="D226" t="str">
            <v>Cerca protetora para jardim.</v>
          </cell>
          <cell r="E226" t="str">
            <v>m2</v>
          </cell>
          <cell r="F226">
            <v>57.16</v>
          </cell>
          <cell r="G226">
            <v>200</v>
          </cell>
        </row>
        <row r="227">
          <cell r="B227" t="str">
            <v>PJ25050100</v>
          </cell>
          <cell r="C227">
            <v>222</v>
          </cell>
          <cell r="D227" t="str">
            <v>Banco para jardim, duplo, pés em ferro fundido.</v>
          </cell>
          <cell r="E227" t="str">
            <v xml:space="preserve"> un</v>
          </cell>
          <cell r="F227">
            <v>904.96</v>
          </cell>
          <cell r="G227">
            <v>36</v>
          </cell>
        </row>
        <row r="228">
          <cell r="B228" t="str">
            <v>PJ25050153</v>
          </cell>
          <cell r="C228">
            <v>223</v>
          </cell>
          <cell r="D228" t="str">
            <v>Mesa de jogos com 4 bancos.</v>
          </cell>
          <cell r="E228" t="str">
            <v xml:space="preserve"> un</v>
          </cell>
          <cell r="F228">
            <v>547.5</v>
          </cell>
          <cell r="G228">
            <v>14</v>
          </cell>
        </row>
        <row r="229">
          <cell r="B229" t="str">
            <v>PJ25100253</v>
          </cell>
          <cell r="C229">
            <v>224</v>
          </cell>
          <cell r="D229" t="str">
            <v>Brinquedo modelo A-08 Dupla Escalada.</v>
          </cell>
          <cell r="E229" t="str">
            <v xml:space="preserve"> un</v>
          </cell>
          <cell r="F229">
            <v>1730.38</v>
          </cell>
          <cell r="G229">
            <v>5</v>
          </cell>
        </row>
        <row r="230">
          <cell r="B230" t="str">
            <v>PJ25100350</v>
          </cell>
          <cell r="C230">
            <v>225</v>
          </cell>
          <cell r="D230" t="str">
            <v>Casa do Tarzan, referência M-45, conforme o modelo.</v>
          </cell>
          <cell r="E230" t="str">
            <v xml:space="preserve"> un</v>
          </cell>
          <cell r="F230">
            <v>2911.25</v>
          </cell>
          <cell r="G230">
            <v>1</v>
          </cell>
        </row>
        <row r="231">
          <cell r="B231" t="str">
            <v>PJ25100600</v>
          </cell>
          <cell r="C231">
            <v>226</v>
          </cell>
          <cell r="D231" t="str">
            <v>Etapa 8, conforme o modelo Pactaplayground.</v>
          </cell>
          <cell r="E231" t="str">
            <v xml:space="preserve"> un</v>
          </cell>
          <cell r="F231">
            <v>263.37</v>
          </cell>
          <cell r="G231">
            <v>1</v>
          </cell>
        </row>
        <row r="232">
          <cell r="B232" t="str">
            <v>PJ25101000</v>
          </cell>
          <cell r="C232">
            <v>227</v>
          </cell>
          <cell r="D232" t="str">
            <v>Prancha para abdominal, em madeira de Lei.</v>
          </cell>
          <cell r="E232" t="str">
            <v xml:space="preserve"> un</v>
          </cell>
          <cell r="F232">
            <v>288.86</v>
          </cell>
          <cell r="G232">
            <v>2</v>
          </cell>
        </row>
        <row r="233">
          <cell r="B233" t="str">
            <v>PJ15050153</v>
          </cell>
          <cell r="C233">
            <v>228</v>
          </cell>
          <cell r="D233" t="str">
            <v>Protetor de árvore em ferro de 3/8".</v>
          </cell>
          <cell r="E233" t="str">
            <v xml:space="preserve"> un</v>
          </cell>
          <cell r="F233">
            <v>40.17</v>
          </cell>
          <cell r="G233">
            <v>283</v>
          </cell>
        </row>
        <row r="234">
          <cell r="B234" t="str">
            <v>PJ20050200</v>
          </cell>
          <cell r="C234">
            <v>229</v>
          </cell>
          <cell r="D234" t="str">
            <v>Aterro com terra preta simples, para gramados.</v>
          </cell>
          <cell r="E234" t="str">
            <v>m3</v>
          </cell>
          <cell r="F234">
            <v>57.72</v>
          </cell>
          <cell r="G234">
            <v>303</v>
          </cell>
        </row>
        <row r="235">
          <cell r="B235" t="str">
            <v>PJ20050453</v>
          </cell>
          <cell r="C235">
            <v>230</v>
          </cell>
          <cell r="D235" t="str">
            <v>Irrigação de árvore e/ou palmeira com Caminhão Pipa.</v>
          </cell>
          <cell r="E235" t="str">
            <v xml:space="preserve"> un</v>
          </cell>
          <cell r="F235">
            <v>0.25</v>
          </cell>
          <cell r="G235">
            <v>303</v>
          </cell>
        </row>
        <row r="236">
          <cell r="B236" t="str">
            <v>PJ20050870</v>
          </cell>
          <cell r="C236">
            <v>231</v>
          </cell>
          <cell r="D236" t="str">
            <v xml:space="preserve">Revolvimento de solo até 20cm de profundidade.   </v>
          </cell>
          <cell r="E236" t="str">
            <v>m2</v>
          </cell>
          <cell r="F236">
            <v>0.67</v>
          </cell>
          <cell r="G236">
            <v>1000</v>
          </cell>
        </row>
        <row r="237">
          <cell r="B237" t="str">
            <v>PJ25250106</v>
          </cell>
          <cell r="C237">
            <v>232</v>
          </cell>
          <cell r="D237" t="str">
            <v>Frade metálico, em ferro fundido, modelo ciclovia.</v>
          </cell>
          <cell r="E237" t="str">
            <v xml:space="preserve"> un</v>
          </cell>
          <cell r="F237">
            <v>94.45</v>
          </cell>
          <cell r="G237">
            <v>505</v>
          </cell>
        </row>
        <row r="238">
          <cell r="B238" t="str">
            <v>PJ40050159</v>
          </cell>
          <cell r="C238">
            <v>233</v>
          </cell>
          <cell r="D238" t="str">
            <v>Remoção de espécies vegetais.</v>
          </cell>
          <cell r="E238" t="str">
            <v xml:space="preserve"> un</v>
          </cell>
          <cell r="F238">
            <v>207.92</v>
          </cell>
          <cell r="G238">
            <v>35</v>
          </cell>
        </row>
        <row r="239">
          <cell r="B239" t="str">
            <v>IP05100300</v>
          </cell>
          <cell r="C239">
            <v>234</v>
          </cell>
          <cell r="D239" t="str">
            <v>Poste de aço, reto, cônico contínuo de 4,5m.</v>
          </cell>
          <cell r="E239" t="str">
            <v xml:space="preserve"> un</v>
          </cell>
          <cell r="F239">
            <v>199.5</v>
          </cell>
          <cell r="G239">
            <v>70</v>
          </cell>
        </row>
        <row r="240">
          <cell r="B240" t="str">
            <v>IP05100553</v>
          </cell>
          <cell r="C240">
            <v>235</v>
          </cell>
          <cell r="D240" t="str">
            <v>Poste de aço, reto, de 7m.</v>
          </cell>
          <cell r="E240" t="str">
            <v xml:space="preserve"> un</v>
          </cell>
          <cell r="F240">
            <v>4336.38</v>
          </cell>
          <cell r="G240">
            <v>10</v>
          </cell>
        </row>
        <row r="241">
          <cell r="B241" t="str">
            <v>IP05100556</v>
          </cell>
          <cell r="C241">
            <v>236</v>
          </cell>
          <cell r="D241" t="str">
            <v>Poste de aço, reto, de 7m.</v>
          </cell>
          <cell r="E241" t="str">
            <v xml:space="preserve"> un</v>
          </cell>
          <cell r="F241">
            <v>4127</v>
          </cell>
          <cell r="G241">
            <v>20</v>
          </cell>
        </row>
        <row r="242">
          <cell r="B242" t="str">
            <v>IP05100562</v>
          </cell>
          <cell r="C242">
            <v>237</v>
          </cell>
          <cell r="D242" t="str">
            <v>Poste de aço, reto, de 7m.</v>
          </cell>
          <cell r="E242" t="str">
            <v xml:space="preserve"> un</v>
          </cell>
          <cell r="F242">
            <v>3360</v>
          </cell>
          <cell r="G242">
            <v>40</v>
          </cell>
        </row>
        <row r="243">
          <cell r="B243" t="str">
            <v>IP10300506</v>
          </cell>
          <cell r="C243">
            <v>238</v>
          </cell>
          <cell r="D243" t="str">
            <v>Conector tipo cunha, em liga de cobre estanhado.</v>
          </cell>
          <cell r="E243" t="str">
            <v xml:space="preserve"> un</v>
          </cell>
          <cell r="F243">
            <v>6.55</v>
          </cell>
          <cell r="G243">
            <v>32</v>
          </cell>
        </row>
        <row r="244">
          <cell r="B244" t="str">
            <v>IP15250100</v>
          </cell>
          <cell r="C244">
            <v>239</v>
          </cell>
          <cell r="D244" t="str">
            <v xml:space="preserve">Cabo de cobre nu, seção de 16mm2.  Fornecimento.  </v>
          </cell>
          <cell r="E244" t="str">
            <v>kg</v>
          </cell>
          <cell r="F244">
            <v>11.42</v>
          </cell>
          <cell r="G244">
            <v>140</v>
          </cell>
        </row>
        <row r="245">
          <cell r="B245" t="str">
            <v>IP15250109</v>
          </cell>
          <cell r="C245">
            <v>240</v>
          </cell>
          <cell r="D245" t="str">
            <v xml:space="preserve">Cabo de cobre nu, seção de 25mm2.  Fornecimento. </v>
          </cell>
          <cell r="E245" t="str">
            <v>kg</v>
          </cell>
          <cell r="F245">
            <v>11.42</v>
          </cell>
          <cell r="G245">
            <v>141.69999999999999</v>
          </cell>
        </row>
        <row r="246">
          <cell r="B246" t="str">
            <v>IP15300053</v>
          </cell>
          <cell r="C246">
            <v>241</v>
          </cell>
          <cell r="D246" t="str">
            <v>Cabo de cobre flexível, 750V, seção de 2x1,5mm2.</v>
          </cell>
          <cell r="E246" t="str">
            <v>m</v>
          </cell>
          <cell r="F246">
            <v>0.88</v>
          </cell>
          <cell r="G246">
            <v>2158</v>
          </cell>
        </row>
        <row r="247">
          <cell r="B247" t="str">
            <v>IP15300062</v>
          </cell>
          <cell r="C247">
            <v>242</v>
          </cell>
          <cell r="D247" t="str">
            <v>Cabo de cobre flexível, 750V, seção de 3x1,5mm2.</v>
          </cell>
          <cell r="E247" t="str">
            <v xml:space="preserve"> un</v>
          </cell>
          <cell r="F247">
            <v>4.62</v>
          </cell>
          <cell r="G247">
            <v>2158</v>
          </cell>
        </row>
        <row r="248">
          <cell r="B248" t="str">
            <v>IP15350350</v>
          </cell>
          <cell r="C248">
            <v>243</v>
          </cell>
          <cell r="D248" t="str">
            <v>Cabo de cobre rígido, seção de 10mm2, 1Kv,  XLPE.</v>
          </cell>
          <cell r="E248" t="str">
            <v>m</v>
          </cell>
          <cell r="F248">
            <v>2.2599999999999998</v>
          </cell>
          <cell r="G248">
            <v>5100</v>
          </cell>
        </row>
        <row r="249">
          <cell r="B249" t="str">
            <v>IP15350456</v>
          </cell>
          <cell r="C249">
            <v>244</v>
          </cell>
          <cell r="D249" t="str">
            <v>Cabo de cobre rígido, seção de 25mm2, 1Kv, XLPE.</v>
          </cell>
          <cell r="E249" t="str">
            <v>m</v>
          </cell>
          <cell r="F249">
            <v>4.4400000000000004</v>
          </cell>
          <cell r="G249">
            <v>144</v>
          </cell>
        </row>
        <row r="250">
          <cell r="B250" t="str">
            <v>IP15350556</v>
          </cell>
          <cell r="C250">
            <v>245</v>
          </cell>
          <cell r="D250" t="str">
            <v>Cabo de cobre rígido, seção de 50mm2, 1Kv, XLPE.</v>
          </cell>
          <cell r="E250" t="str">
            <v>m</v>
          </cell>
          <cell r="F250">
            <v>23.38</v>
          </cell>
          <cell r="G250">
            <v>1870</v>
          </cell>
        </row>
        <row r="251">
          <cell r="B251" t="str">
            <v>IP15450106</v>
          </cell>
          <cell r="C251">
            <v>246</v>
          </cell>
          <cell r="D251" t="str">
            <v>Colocação de 3 condutores singelos em linha de dutos.</v>
          </cell>
          <cell r="E251" t="str">
            <v>m</v>
          </cell>
          <cell r="F251">
            <v>1.42</v>
          </cell>
          <cell r="G251">
            <v>940</v>
          </cell>
        </row>
        <row r="252">
          <cell r="B252" t="str">
            <v>IP15450109</v>
          </cell>
          <cell r="C252">
            <v>247</v>
          </cell>
          <cell r="D252" t="str">
            <v>Colocação de 4 condutores singelos em linha de dutos.</v>
          </cell>
          <cell r="E252" t="str">
            <v>m</v>
          </cell>
          <cell r="F252">
            <v>1.96</v>
          </cell>
          <cell r="G252">
            <v>6180</v>
          </cell>
        </row>
        <row r="253">
          <cell r="B253" t="str">
            <v>IP35150050</v>
          </cell>
          <cell r="C253">
            <v>248</v>
          </cell>
          <cell r="D253" t="str">
            <v>Comando em grupo CRJ-04 ou similar, 85A.</v>
          </cell>
          <cell r="E253" t="str">
            <v xml:space="preserve"> un</v>
          </cell>
          <cell r="F253">
            <v>1984.4</v>
          </cell>
          <cell r="G253">
            <v>2</v>
          </cell>
        </row>
        <row r="254">
          <cell r="B254" t="str">
            <v>IP35150400</v>
          </cell>
          <cell r="C254">
            <v>249</v>
          </cell>
          <cell r="D254" t="str">
            <v>Comando para IP, caixa trifásico, capacidade de 45A.</v>
          </cell>
          <cell r="E254" t="str">
            <v xml:space="preserve"> un</v>
          </cell>
          <cell r="F254">
            <v>1238</v>
          </cell>
          <cell r="G254">
            <v>6</v>
          </cell>
        </row>
        <row r="255">
          <cell r="B255" t="str">
            <v>IP40050100</v>
          </cell>
          <cell r="C255">
            <v>250</v>
          </cell>
          <cell r="D255" t="str">
            <v>Chave blindada, bipolar, 60A. Fornecimento.</v>
          </cell>
          <cell r="E255" t="str">
            <v xml:space="preserve"> un</v>
          </cell>
          <cell r="F255">
            <v>127</v>
          </cell>
          <cell r="G255">
            <v>10</v>
          </cell>
        </row>
        <row r="256">
          <cell r="B256" t="str">
            <v>IP50300850</v>
          </cell>
          <cell r="C256">
            <v>251</v>
          </cell>
          <cell r="D256" t="str">
            <v>Reator subterrâneo para lâmpada de VS de 400W.</v>
          </cell>
          <cell r="E256" t="str">
            <v xml:space="preserve"> un</v>
          </cell>
          <cell r="F256">
            <v>79.099999999999994</v>
          </cell>
          <cell r="G256">
            <v>198</v>
          </cell>
        </row>
        <row r="257">
          <cell r="B257" t="str">
            <v>IP10350400</v>
          </cell>
          <cell r="C257">
            <v>252</v>
          </cell>
          <cell r="D257" t="str">
            <v>Caixa de ligação tipo Condulets R-15/LB-22.</v>
          </cell>
          <cell r="E257" t="str">
            <v xml:space="preserve"> un</v>
          </cell>
          <cell r="F257">
            <v>7.62</v>
          </cell>
          <cell r="G257">
            <v>40</v>
          </cell>
        </row>
        <row r="258">
          <cell r="B258" t="str">
            <v>IP20050050</v>
          </cell>
          <cell r="C258">
            <v>253</v>
          </cell>
          <cell r="D258" t="str">
            <v xml:space="preserve">Aterramento de caixa Hand-Hole. </v>
          </cell>
          <cell r="E258" t="str">
            <v xml:space="preserve"> un</v>
          </cell>
          <cell r="F258">
            <v>10.34</v>
          </cell>
          <cell r="G258">
            <v>140</v>
          </cell>
        </row>
        <row r="259">
          <cell r="B259" t="str">
            <v>IP25100153</v>
          </cell>
          <cell r="C259">
            <v>254</v>
          </cell>
          <cell r="D259" t="str">
            <v>Caixa Hand-Hole, (0,60x0,60)m.</v>
          </cell>
          <cell r="E259" t="str">
            <v xml:space="preserve"> un</v>
          </cell>
          <cell r="F259">
            <v>80.78</v>
          </cell>
          <cell r="G259">
            <v>140</v>
          </cell>
        </row>
        <row r="260">
          <cell r="B260" t="str">
            <v>IP25100165</v>
          </cell>
          <cell r="C260">
            <v>255</v>
          </cell>
          <cell r="D260" t="str">
            <v>Caixa Hand-Hole, (0,60x0,90)m.</v>
          </cell>
          <cell r="E260" t="str">
            <v xml:space="preserve"> un</v>
          </cell>
          <cell r="F260">
            <v>111.4</v>
          </cell>
          <cell r="G260">
            <v>20</v>
          </cell>
        </row>
        <row r="261">
          <cell r="B261" t="str">
            <v>IP50100200</v>
          </cell>
          <cell r="C261">
            <v>256</v>
          </cell>
          <cell r="D261" t="str">
            <v>Luminária decorativa LDRJ-06 para lâmpada VS.</v>
          </cell>
          <cell r="E261" t="str">
            <v xml:space="preserve"> un</v>
          </cell>
          <cell r="F261">
            <v>362.07</v>
          </cell>
          <cell r="G261">
            <v>360</v>
          </cell>
        </row>
        <row r="262">
          <cell r="B262" t="str">
            <v>IP50100250</v>
          </cell>
          <cell r="C262">
            <v>257</v>
          </cell>
          <cell r="D262" t="str">
            <v>Luminária decorativa tipo LDRJ-16/2.</v>
          </cell>
          <cell r="E262" t="str">
            <v xml:space="preserve"> un</v>
          </cell>
          <cell r="F262">
            <v>249.69</v>
          </cell>
          <cell r="G262">
            <v>280</v>
          </cell>
        </row>
        <row r="263">
          <cell r="B263" t="str">
            <v>IP50200050</v>
          </cell>
          <cell r="C263">
            <v>258</v>
          </cell>
          <cell r="D263" t="str">
            <v>Base simples para luminária LDRJ-06.</v>
          </cell>
          <cell r="E263" t="str">
            <v xml:space="preserve"> un</v>
          </cell>
          <cell r="F263">
            <v>40</v>
          </cell>
          <cell r="G263">
            <v>280</v>
          </cell>
        </row>
        <row r="264">
          <cell r="B264" t="str">
            <v>IP50250406</v>
          </cell>
          <cell r="C264">
            <v>259</v>
          </cell>
          <cell r="D264" t="str">
            <v>Lâmpada de multivapor metálico (MVM) 70W/220V.</v>
          </cell>
          <cell r="E264" t="str">
            <v xml:space="preserve"> un</v>
          </cell>
          <cell r="F264">
            <v>73.77</v>
          </cell>
          <cell r="G264">
            <v>80</v>
          </cell>
        </row>
        <row r="265">
          <cell r="B265" t="str">
            <v>IP50250412</v>
          </cell>
          <cell r="C265">
            <v>260</v>
          </cell>
          <cell r="D265" t="str">
            <v>Lâmpada de multivapor metálico (MVM) 150W/220V.</v>
          </cell>
          <cell r="E265" t="str">
            <v xml:space="preserve"> un</v>
          </cell>
          <cell r="F265">
            <v>163.22999999999999</v>
          </cell>
          <cell r="G265">
            <v>20</v>
          </cell>
        </row>
        <row r="266">
          <cell r="B266" t="str">
            <v>IP05350100</v>
          </cell>
          <cell r="C266">
            <v>261</v>
          </cell>
          <cell r="D266" t="str">
            <v>Fundação simples de concreto pré-moldado,RIOLUZ.</v>
          </cell>
          <cell r="E266" t="str">
            <v xml:space="preserve"> un</v>
          </cell>
          <cell r="F266">
            <v>55.26</v>
          </cell>
          <cell r="G266">
            <v>70</v>
          </cell>
        </row>
        <row r="267">
          <cell r="B267" t="str">
            <v>IP05350150</v>
          </cell>
          <cell r="C267">
            <v>262</v>
          </cell>
          <cell r="D267" t="str">
            <v>Fundação simples de concreto pré-moldado,RIOLUZ.</v>
          </cell>
          <cell r="E267" t="str">
            <v xml:space="preserve"> un</v>
          </cell>
          <cell r="F267">
            <v>61.7</v>
          </cell>
          <cell r="G267">
            <v>70</v>
          </cell>
        </row>
        <row r="268">
          <cell r="B268" t="str">
            <v>IP05550150</v>
          </cell>
          <cell r="C268">
            <v>263</v>
          </cell>
          <cell r="D268" t="str">
            <v>Braço, padrão RIOLUZ, de 1,5m até 2,50m.</v>
          </cell>
          <cell r="E268" t="str">
            <v xml:space="preserve"> un</v>
          </cell>
          <cell r="F268">
            <v>47.7</v>
          </cell>
          <cell r="G268">
            <v>280</v>
          </cell>
        </row>
        <row r="269">
          <cell r="B269" t="str">
            <v>IP15200050</v>
          </cell>
          <cell r="C269">
            <v>264</v>
          </cell>
          <cell r="D269" t="str">
            <v>Mufla, 12/20Kv, referência terminal modular TM.</v>
          </cell>
          <cell r="E269" t="str">
            <v xml:space="preserve"> un</v>
          </cell>
          <cell r="F269">
            <v>173.71</v>
          </cell>
          <cell r="G269">
            <v>40</v>
          </cell>
        </row>
        <row r="270">
          <cell r="B270" t="str">
            <v>IP15500100</v>
          </cell>
          <cell r="C270">
            <v>265</v>
          </cell>
          <cell r="D270" t="str">
            <v>Anilha de nylon para identificação de condutor XLPE.</v>
          </cell>
          <cell r="E270" t="str">
            <v xml:space="preserve"> un</v>
          </cell>
          <cell r="F270">
            <v>0.02</v>
          </cell>
          <cell r="G270">
            <v>324</v>
          </cell>
        </row>
        <row r="271">
          <cell r="B271" t="str">
            <v>IP15500150</v>
          </cell>
          <cell r="C271">
            <v>266</v>
          </cell>
          <cell r="D271" t="str">
            <v>Anilha de nylon para identificação de condutor XLPE.</v>
          </cell>
          <cell r="E271" t="str">
            <v xml:space="preserve"> un</v>
          </cell>
          <cell r="F271">
            <v>0.03</v>
          </cell>
          <cell r="G271">
            <v>324</v>
          </cell>
        </row>
        <row r="272">
          <cell r="B272" t="str">
            <v>IP20050053</v>
          </cell>
          <cell r="C272">
            <v>267</v>
          </cell>
          <cell r="D272" t="str">
            <v>Aterramento de poste de aço.</v>
          </cell>
          <cell r="E272" t="str">
            <v xml:space="preserve"> un</v>
          </cell>
          <cell r="F272">
            <v>18.57</v>
          </cell>
          <cell r="G272">
            <v>140</v>
          </cell>
        </row>
        <row r="273">
          <cell r="B273" t="str">
            <v>IP20050056</v>
          </cell>
          <cell r="C273">
            <v>268</v>
          </cell>
          <cell r="D273" t="str">
            <v>Aterramento de tampão.</v>
          </cell>
          <cell r="E273" t="str">
            <v xml:space="preserve"> un</v>
          </cell>
          <cell r="F273">
            <v>28.47</v>
          </cell>
          <cell r="G273">
            <v>140</v>
          </cell>
        </row>
        <row r="274">
          <cell r="B274" t="str">
            <v>IP20050153</v>
          </cell>
          <cell r="C274">
            <v>269</v>
          </cell>
          <cell r="D274" t="str">
            <v>Conjunto de aterramento de transformador.</v>
          </cell>
          <cell r="E274" t="str">
            <v xml:space="preserve"> un</v>
          </cell>
          <cell r="F274">
            <v>176.69</v>
          </cell>
          <cell r="G274">
            <v>53</v>
          </cell>
        </row>
        <row r="275">
          <cell r="B275" t="str">
            <v>IP30200509</v>
          </cell>
          <cell r="C275">
            <v>270</v>
          </cell>
          <cell r="D275" t="str">
            <v>Luva para eletroduto de PVC rígido de 50mm.</v>
          </cell>
          <cell r="E275" t="str">
            <v xml:space="preserve"> un</v>
          </cell>
          <cell r="F275">
            <v>3.43</v>
          </cell>
          <cell r="G275">
            <v>40</v>
          </cell>
        </row>
        <row r="276">
          <cell r="B276" t="str">
            <v>IP50300700</v>
          </cell>
          <cell r="C276">
            <v>271</v>
          </cell>
          <cell r="D276" t="str">
            <v>Reator subterrâneo lâmpada vapor de sódio de 70W.</v>
          </cell>
          <cell r="E276" t="str">
            <v xml:space="preserve"> un</v>
          </cell>
          <cell r="F276">
            <v>40.54</v>
          </cell>
          <cell r="G276">
            <v>200</v>
          </cell>
        </row>
        <row r="277">
          <cell r="B277" t="str">
            <v>IP50300750</v>
          </cell>
          <cell r="C277">
            <v>272</v>
          </cell>
          <cell r="D277" t="str">
            <v>Reator subterrâneo lâmpada vapor de sódio de 150W.</v>
          </cell>
          <cell r="E277" t="str">
            <v xml:space="preserve"> un</v>
          </cell>
          <cell r="F277">
            <v>74.319999999999993</v>
          </cell>
          <cell r="G277">
            <v>26</v>
          </cell>
        </row>
        <row r="278">
          <cell r="B278" t="str">
            <v>IP60200200</v>
          </cell>
          <cell r="C278">
            <v>273</v>
          </cell>
          <cell r="D278" t="str">
            <v xml:space="preserve">Retirada de chaves fusíveis e ferragens, linha 13,2Kv.   </v>
          </cell>
          <cell r="E278" t="str">
            <v xml:space="preserve"> un</v>
          </cell>
          <cell r="F278">
            <v>9.76</v>
          </cell>
          <cell r="G278">
            <v>100</v>
          </cell>
        </row>
        <row r="279">
          <cell r="B279" t="str">
            <v>IP60200362</v>
          </cell>
          <cell r="C279">
            <v>274</v>
          </cell>
          <cell r="D279" t="str">
            <v>Retirada de luminária em poste com 13m a 15m.</v>
          </cell>
          <cell r="E279" t="str">
            <v xml:space="preserve"> un</v>
          </cell>
          <cell r="F279">
            <v>9.76</v>
          </cell>
          <cell r="G279">
            <v>118</v>
          </cell>
        </row>
        <row r="280">
          <cell r="B280" t="str">
            <v>IP60200512</v>
          </cell>
          <cell r="C280">
            <v>275</v>
          </cell>
          <cell r="D280" t="str">
            <v xml:space="preserve">Retirada de poste de concreto ou aço de 13m a 15m.   </v>
          </cell>
          <cell r="E280" t="str">
            <v xml:space="preserve"> un</v>
          </cell>
          <cell r="F280">
            <v>97.64</v>
          </cell>
          <cell r="G280">
            <v>108</v>
          </cell>
        </row>
        <row r="281">
          <cell r="B281" t="str">
            <v>IP60200650</v>
          </cell>
          <cell r="C281">
            <v>276</v>
          </cell>
          <cell r="D281" t="str">
            <v xml:space="preserve">Retirada de rede aérea de 13,2Kv (lance).   </v>
          </cell>
          <cell r="E281" t="str">
            <v xml:space="preserve"> un</v>
          </cell>
          <cell r="F281">
            <v>19.53</v>
          </cell>
          <cell r="G281">
            <v>94</v>
          </cell>
        </row>
        <row r="282">
          <cell r="B282" t="str">
            <v>IP60200800</v>
          </cell>
          <cell r="C282">
            <v>277</v>
          </cell>
          <cell r="D282" t="str">
            <v xml:space="preserve">Retirada de transformadores de 5Kva até 112,5Kva.   </v>
          </cell>
          <cell r="E282" t="str">
            <v xml:space="preserve"> un</v>
          </cell>
          <cell r="F282">
            <v>39.06</v>
          </cell>
          <cell r="G282">
            <v>2</v>
          </cell>
        </row>
        <row r="283">
          <cell r="B283" t="str">
            <v>IP99990150</v>
          </cell>
          <cell r="C283">
            <v>278</v>
          </cell>
          <cell r="D283" t="str">
            <v>Capa isolante de silicone para conector tipo cunha.</v>
          </cell>
          <cell r="E283" t="str">
            <v xml:space="preserve"> un</v>
          </cell>
          <cell r="F283">
            <v>3.68</v>
          </cell>
          <cell r="G283">
            <v>1475</v>
          </cell>
        </row>
        <row r="284">
          <cell r="B284" t="str">
            <v>ST05051200</v>
          </cell>
          <cell r="C284">
            <v>279</v>
          </cell>
          <cell r="D284" t="str">
            <v>Sinalização horizontal, aplicada por extursão.</v>
          </cell>
          <cell r="E284" t="str">
            <v>m2</v>
          </cell>
          <cell r="F284">
            <v>37.81</v>
          </cell>
          <cell r="G284">
            <v>1000</v>
          </cell>
        </row>
        <row r="285">
          <cell r="B285" t="str">
            <v>ST10150050</v>
          </cell>
          <cell r="C285">
            <v>280</v>
          </cell>
          <cell r="D285" t="str">
            <v>Bloco semafórico para pedestre.</v>
          </cell>
          <cell r="E285" t="str">
            <v xml:space="preserve"> un</v>
          </cell>
          <cell r="F285">
            <v>224.25</v>
          </cell>
          <cell r="G285">
            <v>60</v>
          </cell>
        </row>
        <row r="286">
          <cell r="B286" t="str">
            <v>ST10150150</v>
          </cell>
          <cell r="C286">
            <v>281</v>
          </cell>
          <cell r="D286" t="str">
            <v>Bloco semafórico principal.</v>
          </cell>
          <cell r="E286" t="str">
            <v xml:space="preserve"> un</v>
          </cell>
          <cell r="F286">
            <v>691.39</v>
          </cell>
          <cell r="G286">
            <v>48</v>
          </cell>
        </row>
        <row r="287">
          <cell r="B287" t="str">
            <v>ST10150200</v>
          </cell>
          <cell r="C287">
            <v>282</v>
          </cell>
          <cell r="D287" t="str">
            <v>Bloco semafórico repetidor.</v>
          </cell>
          <cell r="E287" t="str">
            <v xml:space="preserve"> un</v>
          </cell>
          <cell r="F287">
            <v>423</v>
          </cell>
          <cell r="G287">
            <v>65</v>
          </cell>
        </row>
        <row r="288">
          <cell r="B288" t="str">
            <v>ST10150300</v>
          </cell>
          <cell r="C288">
            <v>283</v>
          </cell>
          <cell r="D288" t="str">
            <v>Conjunto semafórico para pedestre.</v>
          </cell>
          <cell r="E288" t="str">
            <v xml:space="preserve"> un</v>
          </cell>
          <cell r="F288">
            <v>1779.7</v>
          </cell>
          <cell r="G288">
            <v>20</v>
          </cell>
        </row>
        <row r="289">
          <cell r="B289" t="str">
            <v>ST15250100</v>
          </cell>
          <cell r="C289">
            <v>284</v>
          </cell>
          <cell r="D289" t="str">
            <v>Placa de sinalização de alumínio com fundo pintado.</v>
          </cell>
          <cell r="E289" t="str">
            <v>m2</v>
          </cell>
          <cell r="F289">
            <v>239</v>
          </cell>
          <cell r="G289">
            <v>30</v>
          </cell>
        </row>
        <row r="290">
          <cell r="B290" t="str">
            <v>ST15250150</v>
          </cell>
          <cell r="C290">
            <v>285</v>
          </cell>
          <cell r="D290" t="str">
            <v>Placa de sinalização de alumínio em película refletiva.</v>
          </cell>
          <cell r="E290" t="str">
            <v>m2</v>
          </cell>
          <cell r="F290">
            <v>1013.69</v>
          </cell>
          <cell r="G290">
            <v>60</v>
          </cell>
        </row>
        <row r="291">
          <cell r="B291" t="str">
            <v>ST15250200</v>
          </cell>
          <cell r="C291">
            <v>286</v>
          </cell>
          <cell r="D291" t="str">
            <v>Placa de sinalização de alumínio em película refletiva.</v>
          </cell>
          <cell r="E291" t="str">
            <v>m2</v>
          </cell>
          <cell r="F291">
            <v>564.05999999999995</v>
          </cell>
          <cell r="G291">
            <v>400</v>
          </cell>
        </row>
        <row r="292">
          <cell r="B292" t="str">
            <v>ST10100050</v>
          </cell>
          <cell r="C292">
            <v>287</v>
          </cell>
          <cell r="D292" t="str">
            <v>Controlador de área, compatível com CET-RIO/CTA.</v>
          </cell>
          <cell r="E292" t="str">
            <v xml:space="preserve"> un</v>
          </cell>
          <cell r="F292">
            <v>53682.42</v>
          </cell>
          <cell r="G292">
            <v>1</v>
          </cell>
        </row>
        <row r="293">
          <cell r="B293" t="str">
            <v>ST10100450</v>
          </cell>
          <cell r="C293">
            <v>288</v>
          </cell>
          <cell r="D293" t="str">
            <v>Controlador eletrônico de tráfego local, 4 fases.</v>
          </cell>
          <cell r="E293" t="str">
            <v xml:space="preserve"> un</v>
          </cell>
          <cell r="F293">
            <v>8268.98</v>
          </cell>
          <cell r="G293">
            <v>2</v>
          </cell>
        </row>
        <row r="294">
          <cell r="B294" t="str">
            <v>ST10100500</v>
          </cell>
          <cell r="C294">
            <v>289</v>
          </cell>
          <cell r="D294" t="str">
            <v>Controlador eletrônico de tráfego local, 6 fases.</v>
          </cell>
          <cell r="E294" t="str">
            <v xml:space="preserve"> un</v>
          </cell>
          <cell r="F294">
            <v>9048.98</v>
          </cell>
          <cell r="G294">
            <v>1</v>
          </cell>
        </row>
        <row r="295">
          <cell r="B295" t="str">
            <v>ST10100550</v>
          </cell>
          <cell r="C295">
            <v>290</v>
          </cell>
          <cell r="D295" t="str">
            <v>Controlador eletrônico de tráfego local, 8 fases.</v>
          </cell>
          <cell r="E295" t="str">
            <v xml:space="preserve"> un</v>
          </cell>
          <cell r="F295">
            <v>9828.98</v>
          </cell>
          <cell r="G295">
            <v>1</v>
          </cell>
        </row>
        <row r="296">
          <cell r="B296" t="str">
            <v>ST10100600</v>
          </cell>
          <cell r="C296">
            <v>291</v>
          </cell>
          <cell r="D296" t="str">
            <v>Controlador eletrônico de tráfego local, 10 fases.</v>
          </cell>
          <cell r="E296" t="str">
            <v xml:space="preserve"> un</v>
          </cell>
          <cell r="F296">
            <v>15372.94</v>
          </cell>
          <cell r="G296">
            <v>1</v>
          </cell>
        </row>
        <row r="297">
          <cell r="B297" t="str">
            <v>ST10100650</v>
          </cell>
          <cell r="C297">
            <v>292</v>
          </cell>
          <cell r="D297" t="str">
            <v>Controlador eletrônico de tráfego local, 12 fases.</v>
          </cell>
          <cell r="E297" t="str">
            <v xml:space="preserve"> un</v>
          </cell>
          <cell r="F297">
            <v>16152.94</v>
          </cell>
          <cell r="G297">
            <v>2</v>
          </cell>
        </row>
        <row r="298">
          <cell r="B298" t="str">
            <v>ST10150300</v>
          </cell>
          <cell r="C298">
            <v>293</v>
          </cell>
          <cell r="D298" t="str">
            <v>Conjunto semafórico para pedestre.</v>
          </cell>
          <cell r="E298" t="str">
            <v xml:space="preserve"> un</v>
          </cell>
          <cell r="F298">
            <v>1779.7</v>
          </cell>
          <cell r="G298">
            <v>20</v>
          </cell>
        </row>
        <row r="299">
          <cell r="B299" t="str">
            <v>ST25100150</v>
          </cell>
          <cell r="C299">
            <v>294</v>
          </cell>
          <cell r="D299" t="str">
            <v>Fornecimento de cabo comunicação de CTP-APL-50.</v>
          </cell>
          <cell r="E299" t="str">
            <v>m</v>
          </cell>
          <cell r="F299">
            <v>2.64</v>
          </cell>
          <cell r="G299">
            <v>220</v>
          </cell>
        </row>
        <row r="300">
          <cell r="B300" t="str">
            <v>ST25100300</v>
          </cell>
          <cell r="C300">
            <v>295</v>
          </cell>
          <cell r="D300" t="str">
            <v>Fornecimento de cabo comunicação de cobre, 0,65mm2.</v>
          </cell>
          <cell r="E300" t="str">
            <v>m</v>
          </cell>
          <cell r="F300">
            <v>0.97</v>
          </cell>
          <cell r="G300">
            <v>1215</v>
          </cell>
        </row>
        <row r="301">
          <cell r="B301" t="str">
            <v>ST25100400</v>
          </cell>
          <cell r="C301">
            <v>296</v>
          </cell>
          <cell r="D301" t="str">
            <v xml:space="preserve">Fornecimento de fio telefônico FE-100, ø de 1mm2.      </v>
          </cell>
          <cell r="E301" t="str">
            <v>m</v>
          </cell>
          <cell r="F301">
            <v>0.57999999999999996</v>
          </cell>
          <cell r="G301">
            <v>4618</v>
          </cell>
        </row>
        <row r="302">
          <cell r="B302" t="str">
            <v>ST25150050</v>
          </cell>
          <cell r="C302">
            <v>297</v>
          </cell>
          <cell r="D302" t="str">
            <v>Cabo de fibra ótico, monomodo, geleado.</v>
          </cell>
          <cell r="E302" t="str">
            <v>m</v>
          </cell>
          <cell r="F302">
            <v>3.99</v>
          </cell>
          <cell r="G302">
            <v>972</v>
          </cell>
        </row>
        <row r="303">
          <cell r="B303" t="str">
            <v>ST05050150</v>
          </cell>
          <cell r="C303">
            <v>298</v>
          </cell>
          <cell r="D303" t="str">
            <v>Laminado elastoplástico em faixas, colorido.</v>
          </cell>
          <cell r="E303" t="str">
            <v>m2</v>
          </cell>
          <cell r="F303">
            <v>67.95</v>
          </cell>
          <cell r="G303">
            <v>254</v>
          </cell>
        </row>
        <row r="304">
          <cell r="B304" t="str">
            <v>ST05050250</v>
          </cell>
          <cell r="C304">
            <v>299</v>
          </cell>
          <cell r="D304" t="str">
            <v>Laminado elastoplástico em faixas, cor branca.</v>
          </cell>
          <cell r="E304" t="str">
            <v>m2</v>
          </cell>
          <cell r="F304">
            <v>60.65</v>
          </cell>
          <cell r="G304">
            <v>254</v>
          </cell>
        </row>
        <row r="305">
          <cell r="B305" t="str">
            <v>ST10050050A</v>
          </cell>
          <cell r="C305">
            <v>300</v>
          </cell>
          <cell r="D305" t="str">
            <v>Cabo de cobre estanhado, seção de 7x2,5mm2.</v>
          </cell>
          <cell r="E305" t="str">
            <v>m</v>
          </cell>
          <cell r="F305">
            <v>4.8499999999999996</v>
          </cell>
          <cell r="G305">
            <v>1000</v>
          </cell>
        </row>
        <row r="306">
          <cell r="B306" t="str">
            <v>ST10050100A</v>
          </cell>
          <cell r="C306">
            <v>301</v>
          </cell>
          <cell r="D306" t="str">
            <v>Cabo de cobre estanhado, seção de 4x6mm2.</v>
          </cell>
          <cell r="E306" t="str">
            <v>m</v>
          </cell>
          <cell r="F306">
            <v>5.64</v>
          </cell>
          <cell r="G306">
            <v>400</v>
          </cell>
        </row>
        <row r="307">
          <cell r="B307" t="str">
            <v>ST10050150A</v>
          </cell>
          <cell r="C307">
            <v>302</v>
          </cell>
          <cell r="D307" t="str">
            <v>Cabo de cobre estanhado, seção de 4x10mm2.</v>
          </cell>
          <cell r="E307" t="str">
            <v>m</v>
          </cell>
          <cell r="F307">
            <v>8.77</v>
          </cell>
          <cell r="G307">
            <v>240</v>
          </cell>
        </row>
        <row r="308">
          <cell r="B308" t="str">
            <v>ST10050250A</v>
          </cell>
          <cell r="C308">
            <v>303</v>
          </cell>
          <cell r="D308" t="str">
            <v>Caixa com tampa de ferro leve 300L-400mm,CET-RIO.</v>
          </cell>
          <cell r="E308" t="str">
            <v>un</v>
          </cell>
          <cell r="F308">
            <v>72.06</v>
          </cell>
          <cell r="G308">
            <v>48</v>
          </cell>
        </row>
        <row r="309">
          <cell r="B309" t="str">
            <v>ST10200150A</v>
          </cell>
          <cell r="C309">
            <v>304</v>
          </cell>
          <cell r="D309" t="str">
            <v xml:space="preserve">Base de concreto armado para controlador de tráfego.  </v>
          </cell>
          <cell r="E309" t="str">
            <v>un</v>
          </cell>
          <cell r="F309">
            <v>49.39</v>
          </cell>
          <cell r="G309">
            <v>4</v>
          </cell>
        </row>
        <row r="310">
          <cell r="B310" t="str">
            <v>ST10200250A</v>
          </cell>
          <cell r="C310">
            <v>305</v>
          </cell>
          <cell r="D310" t="str">
            <v xml:space="preserve">Instalação, programação de controlador de tráfego.    </v>
          </cell>
          <cell r="E310" t="str">
            <v>un</v>
          </cell>
          <cell r="F310">
            <v>159.88</v>
          </cell>
          <cell r="G310">
            <v>4</v>
          </cell>
        </row>
        <row r="311">
          <cell r="B311" t="str">
            <v>ST10200300</v>
          </cell>
          <cell r="C311">
            <v>306</v>
          </cell>
          <cell r="D311" t="str">
            <v>Serviços de instalação de laços indutivos.</v>
          </cell>
          <cell r="E311" t="str">
            <v>un</v>
          </cell>
          <cell r="F311">
            <v>680</v>
          </cell>
          <cell r="G311">
            <v>7</v>
          </cell>
        </row>
        <row r="312">
          <cell r="B312" t="str">
            <v>ST15100200</v>
          </cell>
          <cell r="C312">
            <v>307</v>
          </cell>
          <cell r="D312" t="str">
            <v>Poste tipo G9, simples, de 2" de diâmetro.</v>
          </cell>
          <cell r="E312" t="str">
            <v>un</v>
          </cell>
          <cell r="F312">
            <v>163.80000000000001</v>
          </cell>
          <cell r="G312">
            <v>70</v>
          </cell>
        </row>
        <row r="313">
          <cell r="B313" t="str">
            <v>ST15100250</v>
          </cell>
          <cell r="C313">
            <v>308</v>
          </cell>
          <cell r="D313" t="str">
            <v>Poste tipo S5, simples, de 4" de diâmetro.</v>
          </cell>
          <cell r="E313" t="str">
            <v>un</v>
          </cell>
          <cell r="F313">
            <v>496.65</v>
          </cell>
          <cell r="G313">
            <v>19</v>
          </cell>
        </row>
        <row r="314">
          <cell r="B314" t="str">
            <v>ST15100350</v>
          </cell>
          <cell r="C314">
            <v>309</v>
          </cell>
          <cell r="D314" t="str">
            <v>Poste tipo G2 ou S2, coluna de 4 1/2" de diâmetro.</v>
          </cell>
          <cell r="E314" t="str">
            <v>un</v>
          </cell>
          <cell r="F314">
            <v>1234.8</v>
          </cell>
          <cell r="G314">
            <v>14</v>
          </cell>
        </row>
        <row r="315">
          <cell r="B315" t="str">
            <v>ST15100400</v>
          </cell>
          <cell r="C315">
            <v>310</v>
          </cell>
          <cell r="D315" t="str">
            <v>Poste tipo G1 ou S1, coluna de 4 1/2" de diâmetro.</v>
          </cell>
          <cell r="E315" t="str">
            <v>un</v>
          </cell>
          <cell r="F315">
            <v>1342.95</v>
          </cell>
          <cell r="G315">
            <v>15</v>
          </cell>
        </row>
        <row r="316">
          <cell r="B316" t="str">
            <v>ST25050300A</v>
          </cell>
          <cell r="C316">
            <v>311</v>
          </cell>
          <cell r="D316" t="str">
            <v>Instalação subterrânea de cabos de comunicação.</v>
          </cell>
          <cell r="E316" t="str">
            <v>m</v>
          </cell>
          <cell r="F316">
            <v>2.12</v>
          </cell>
          <cell r="G316">
            <v>5700</v>
          </cell>
        </row>
        <row r="317">
          <cell r="B317" t="str">
            <v>ST45150050</v>
          </cell>
          <cell r="C317">
            <v>312</v>
          </cell>
          <cell r="D317" t="str">
            <v>Caixa com tampa de ferro,leve 600L-600mmCET-RIO.</v>
          </cell>
          <cell r="E317" t="str">
            <v>un</v>
          </cell>
          <cell r="F317">
            <v>265.45</v>
          </cell>
          <cell r="G317">
            <v>55</v>
          </cell>
        </row>
        <row r="318">
          <cell r="B318" t="str">
            <v>ST45200050</v>
          </cell>
          <cell r="C318">
            <v>313</v>
          </cell>
          <cell r="D318" t="str">
            <v>Cabo de cobre estanhado, comando,XLPE 9x1,5mm2.</v>
          </cell>
          <cell r="E318" t="str">
            <v>m</v>
          </cell>
          <cell r="F318">
            <v>4.34</v>
          </cell>
          <cell r="G318">
            <v>1800</v>
          </cell>
        </row>
        <row r="319">
          <cell r="B319" t="str">
            <v>ST45200200</v>
          </cell>
          <cell r="C319">
            <v>314</v>
          </cell>
          <cell r="D319" t="str">
            <v xml:space="preserve">Instalação e teste de blocos semafóricos.  </v>
          </cell>
          <cell r="E319" t="str">
            <v>un</v>
          </cell>
          <cell r="F319">
            <v>54.85</v>
          </cell>
          <cell r="G319">
            <v>58</v>
          </cell>
        </row>
        <row r="321">
          <cell r="B321" t="str">
            <v>ITENS INSERIDOS</v>
          </cell>
        </row>
        <row r="322">
          <cell r="B322" t="str">
            <v>BP20150053</v>
          </cell>
          <cell r="C322">
            <v>315</v>
          </cell>
          <cell r="D322" t="str">
            <v>Sarjeta e meio-fio conjugados, moldado no local, 0,45m.</v>
          </cell>
          <cell r="E322" t="str">
            <v>m</v>
          </cell>
          <cell r="F322">
            <v>37.200000000000003</v>
          </cell>
          <cell r="G322">
            <v>3640.55</v>
          </cell>
        </row>
        <row r="323">
          <cell r="B323" t="str">
            <v>BP10200356</v>
          </cell>
          <cell r="C323">
            <v>316</v>
          </cell>
          <cell r="D323" t="str">
            <v xml:space="preserve">Revestimento intertravado, cor natural, 8cm. </v>
          </cell>
          <cell r="E323" t="str">
            <v>m2</v>
          </cell>
          <cell r="F323">
            <v>38.08</v>
          </cell>
          <cell r="G323">
            <v>13265.71</v>
          </cell>
        </row>
        <row r="324">
          <cell r="B324" t="str">
            <v>BP10200359</v>
          </cell>
          <cell r="C324">
            <v>317</v>
          </cell>
          <cell r="D324" t="str">
            <v>Revestimento intertravado com cimento cinza, colorido; 8cm.</v>
          </cell>
          <cell r="E324" t="str">
            <v>m2</v>
          </cell>
          <cell r="F324">
            <v>43.85</v>
          </cell>
          <cell r="G324">
            <v>1167.57</v>
          </cell>
        </row>
        <row r="326">
          <cell r="B326" t="str">
            <v>ITENS NOVOS</v>
          </cell>
        </row>
        <row r="327">
          <cell r="B327" t="str">
            <v>AD05200050</v>
          </cell>
          <cell r="C327">
            <v>318</v>
          </cell>
          <cell r="D327" t="str">
            <v xml:space="preserve">Sondagem a percurssao ate 3" </v>
          </cell>
          <cell r="E327" t="str">
            <v>m</v>
          </cell>
          <cell r="F327">
            <v>49</v>
          </cell>
          <cell r="G327">
            <v>270</v>
          </cell>
        </row>
        <row r="328">
          <cell r="B328" t="str">
            <v>AD15050050</v>
          </cell>
          <cell r="C328">
            <v>319</v>
          </cell>
          <cell r="D328" t="str">
            <v>Deslocamento, entre furos, sondagem a percurssao.</v>
          </cell>
          <cell r="E328" t="str">
            <v>un</v>
          </cell>
          <cell r="F328">
            <v>152.19</v>
          </cell>
          <cell r="G328">
            <v>13</v>
          </cell>
        </row>
        <row r="329">
          <cell r="B329" t="str">
            <v>AD20150050</v>
          </cell>
          <cell r="C329">
            <v>320</v>
          </cell>
          <cell r="D329" t="str">
            <v>Container para escritorio.</v>
          </cell>
          <cell r="E329" t="str">
            <v>un.mes</v>
          </cell>
          <cell r="F329">
            <v>494.18</v>
          </cell>
          <cell r="G329">
            <v>6</v>
          </cell>
        </row>
        <row r="330">
          <cell r="B330" t="str">
            <v>AD20150150</v>
          </cell>
          <cell r="C330">
            <v>321</v>
          </cell>
          <cell r="D330" t="str">
            <v>Container para WC.</v>
          </cell>
          <cell r="E330" t="str">
            <v>un.mes</v>
          </cell>
          <cell r="F330">
            <v>511.48</v>
          </cell>
          <cell r="G330">
            <v>3</v>
          </cell>
        </row>
        <row r="331">
          <cell r="B331" t="str">
            <v>AD40050128</v>
          </cell>
          <cell r="C331">
            <v>322</v>
          </cell>
          <cell r="D331" t="str">
            <v>Engenheiro coordenador geral de projetos.</v>
          </cell>
          <cell r="E331" t="str">
            <v>h</v>
          </cell>
          <cell r="F331">
            <v>43.69</v>
          </cell>
          <cell r="G331">
            <v>378</v>
          </cell>
        </row>
        <row r="332">
          <cell r="B332" t="str">
            <v>AD40050152</v>
          </cell>
          <cell r="C332">
            <v>323</v>
          </cell>
          <cell r="D332" t="str">
            <v>Mestre de obra A (inclusive encargos sociais).</v>
          </cell>
          <cell r="E332" t="str">
            <v>h</v>
          </cell>
          <cell r="F332">
            <v>15.91</v>
          </cell>
          <cell r="G332">
            <v>3009</v>
          </cell>
        </row>
        <row r="333">
          <cell r="B333" t="str">
            <v>AL05250450</v>
          </cell>
          <cell r="C333">
            <v>324</v>
          </cell>
          <cell r="D333" t="str">
            <v>Alvenaria de blocos de concreto (20x20x40)cm.</v>
          </cell>
          <cell r="E333" t="str">
            <v>m2</v>
          </cell>
          <cell r="F333">
            <v>32.409999999999997</v>
          </cell>
          <cell r="G333">
            <v>732.34</v>
          </cell>
        </row>
        <row r="334">
          <cell r="B334" t="str">
            <v>BP10250303</v>
          </cell>
          <cell r="C334">
            <v>325</v>
          </cell>
          <cell r="D334" t="str">
            <v>Pavimentacao com paralelepipedos, colchao de pó.</v>
          </cell>
          <cell r="E334" t="str">
            <v>m2</v>
          </cell>
          <cell r="F334">
            <v>34.6</v>
          </cell>
          <cell r="G334">
            <v>577.88</v>
          </cell>
        </row>
        <row r="335">
          <cell r="B335" t="str">
            <v>BP20100100</v>
          </cell>
          <cell r="C335">
            <v>326</v>
          </cell>
          <cell r="D335" t="str">
            <v>Meio-fio de concreto 13,5MPa mold no local, 0,15x0,30m.</v>
          </cell>
          <cell r="E335" t="str">
            <v>m</v>
          </cell>
          <cell r="F335">
            <v>23.38</v>
          </cell>
          <cell r="G335">
            <v>277.51</v>
          </cell>
        </row>
        <row r="336">
          <cell r="B336" t="str">
            <v>DR30200053</v>
          </cell>
          <cell r="C336">
            <v>327</v>
          </cell>
          <cell r="D336" t="str">
            <v>Caixa de inspecao para esgoto sanitario 0,75m de prof.</v>
          </cell>
          <cell r="E336" t="str">
            <v>un</v>
          </cell>
          <cell r="F336">
            <v>247.46</v>
          </cell>
          <cell r="G336">
            <v>79</v>
          </cell>
        </row>
        <row r="337">
          <cell r="B337" t="str">
            <v>DR35050050</v>
          </cell>
          <cell r="C337">
            <v>328</v>
          </cell>
          <cell r="D337" t="str">
            <v>Tampao de ferro fundido artic., de 30cm,RIOLUZ/CET-RIO.</v>
          </cell>
          <cell r="E337" t="str">
            <v xml:space="preserve">un  </v>
          </cell>
          <cell r="F337">
            <v>50.48</v>
          </cell>
          <cell r="G337">
            <v>199</v>
          </cell>
        </row>
        <row r="338">
          <cell r="B338" t="str">
            <v>DR35050053</v>
          </cell>
          <cell r="C338">
            <v>329</v>
          </cell>
          <cell r="D338" t="str">
            <v>Tampao de ferro fundido leve ø0,60m padrao RIOLUZ.</v>
          </cell>
          <cell r="E338" t="str">
            <v xml:space="preserve">un  </v>
          </cell>
          <cell r="F338">
            <v>206.59</v>
          </cell>
          <cell r="G338">
            <v>14</v>
          </cell>
        </row>
        <row r="339">
          <cell r="B339" t="str">
            <v>DR55050050</v>
          </cell>
          <cell r="C339">
            <v>330</v>
          </cell>
          <cell r="D339" t="str">
            <v>Camada horizontal de brita.</v>
          </cell>
          <cell r="E339" t="str">
            <v>m3</v>
          </cell>
          <cell r="F339">
            <v>41.32</v>
          </cell>
          <cell r="G339">
            <v>38.5</v>
          </cell>
        </row>
        <row r="340">
          <cell r="B340" t="str">
            <v>ET05600050</v>
          </cell>
          <cell r="C340">
            <v>331</v>
          </cell>
          <cell r="D340" t="str">
            <v>Concreto armado de 15MPa.</v>
          </cell>
          <cell r="E340" t="str">
            <v>m3</v>
          </cell>
          <cell r="F340">
            <v>700.29</v>
          </cell>
          <cell r="G340">
            <v>148.97999999999999</v>
          </cell>
        </row>
        <row r="341">
          <cell r="B341" t="str">
            <v>ET15200103</v>
          </cell>
          <cell r="C341">
            <v>332</v>
          </cell>
          <cell r="D341" t="str">
            <v>Formas de placas de Madeirit,17mm de espessura plast.</v>
          </cell>
          <cell r="E341" t="str">
            <v>m2</v>
          </cell>
          <cell r="F341">
            <v>47.48</v>
          </cell>
          <cell r="G341">
            <v>1739.95</v>
          </cell>
        </row>
        <row r="342">
          <cell r="B342" t="str">
            <v>ET20050050</v>
          </cell>
          <cell r="C342">
            <v>333</v>
          </cell>
          <cell r="D342" t="str">
            <v>Escoramento de pontilhoes,pontes,viadutos concreto armado.</v>
          </cell>
          <cell r="E342" t="str">
            <v>m3</v>
          </cell>
          <cell r="F342">
            <v>40.97</v>
          </cell>
          <cell r="G342">
            <v>2258.8000000000002</v>
          </cell>
        </row>
        <row r="343">
          <cell r="B343" t="str">
            <v>ET20300100</v>
          </cell>
          <cell r="C343">
            <v>334</v>
          </cell>
          <cell r="D343" t="str">
            <v xml:space="preserve">Escoramento de formas de 1,50m e ate 5m. </v>
          </cell>
          <cell r="E343" t="str">
            <v>m2</v>
          </cell>
          <cell r="F343">
            <v>17.66</v>
          </cell>
          <cell r="G343">
            <v>943.11</v>
          </cell>
        </row>
        <row r="344">
          <cell r="B344" t="str">
            <v>ET40050121</v>
          </cell>
          <cell r="C344">
            <v>335</v>
          </cell>
          <cell r="D344" t="str">
            <v>Tela de aco Telcon com malha de (10x10)cm.</v>
          </cell>
          <cell r="E344" t="str">
            <v>m2</v>
          </cell>
          <cell r="F344">
            <v>24.52</v>
          </cell>
          <cell r="G344">
            <v>1582.14</v>
          </cell>
        </row>
        <row r="345">
          <cell r="B345" t="str">
            <v>ET60050053</v>
          </cell>
          <cell r="C345">
            <v>336</v>
          </cell>
          <cell r="D345" t="str">
            <v>Concreto usinado 11MPa.</v>
          </cell>
          <cell r="E345" t="str">
            <v>m3</v>
          </cell>
          <cell r="F345">
            <v>166.68</v>
          </cell>
          <cell r="G345">
            <v>678.35</v>
          </cell>
        </row>
        <row r="346">
          <cell r="B346" t="str">
            <v>ET60050068</v>
          </cell>
          <cell r="C346">
            <v>337</v>
          </cell>
          <cell r="D346" t="str">
            <v>Concreto usinado 22,5MPa.</v>
          </cell>
          <cell r="E346" t="str">
            <v>m3</v>
          </cell>
          <cell r="F346">
            <v>209.87</v>
          </cell>
          <cell r="G346">
            <v>79.11</v>
          </cell>
        </row>
        <row r="347">
          <cell r="B347" t="str">
            <v>IP25100025</v>
          </cell>
          <cell r="C347">
            <v>338</v>
          </cell>
          <cell r="D347" t="str">
            <v>Caixa Hand-Hole, (0,30x0,30)m.</v>
          </cell>
          <cell r="E347" t="str">
            <v>un</v>
          </cell>
          <cell r="F347">
            <v>26.29</v>
          </cell>
          <cell r="G347">
            <v>227</v>
          </cell>
        </row>
        <row r="348">
          <cell r="B348" t="str">
            <v>IP25200050</v>
          </cell>
          <cell r="C348">
            <v>339</v>
          </cell>
          <cell r="D348" t="str">
            <v>Tampao de ferro tipo leve padrao RIOLUZ.</v>
          </cell>
          <cell r="E348" t="str">
            <v>un</v>
          </cell>
          <cell r="F348">
            <v>188.93</v>
          </cell>
          <cell r="G348">
            <v>100</v>
          </cell>
        </row>
        <row r="349">
          <cell r="B349" t="str">
            <v>IP55150100</v>
          </cell>
          <cell r="C349">
            <v>340</v>
          </cell>
          <cell r="D349" t="str">
            <v>Chumbador para fixacao de poste de aco.</v>
          </cell>
          <cell r="E349" t="str">
            <v>un</v>
          </cell>
          <cell r="F349">
            <v>27.89</v>
          </cell>
          <cell r="G349">
            <v>1304</v>
          </cell>
        </row>
        <row r="350">
          <cell r="B350" t="str">
            <v>IT10400050</v>
          </cell>
          <cell r="C350">
            <v>341</v>
          </cell>
          <cell r="D350" t="str">
            <v>Ligacao domiciliar de agua.</v>
          </cell>
          <cell r="E350" t="str">
            <v>un</v>
          </cell>
          <cell r="F350">
            <v>96.69</v>
          </cell>
          <cell r="G350">
            <v>67</v>
          </cell>
        </row>
        <row r="351">
          <cell r="B351" t="str">
            <v>IT15600100</v>
          </cell>
          <cell r="C351">
            <v>342</v>
          </cell>
          <cell r="D351" t="str">
            <v>Ligacao de esgoto sanitario, em manilha de 100mm.</v>
          </cell>
          <cell r="E351" t="str">
            <v>un</v>
          </cell>
          <cell r="F351">
            <v>344.53</v>
          </cell>
          <cell r="G351">
            <v>79</v>
          </cell>
        </row>
        <row r="352">
          <cell r="B352" t="str">
            <v>MT05050100</v>
          </cell>
          <cell r="C352">
            <v>343</v>
          </cell>
          <cell r="D352" t="str">
            <v>Escavacao manual de vala, 1,50m e 3m de profundidade.</v>
          </cell>
          <cell r="E352" t="str">
            <v>m3</v>
          </cell>
          <cell r="F352">
            <v>19.93</v>
          </cell>
          <cell r="G352">
            <v>1092</v>
          </cell>
        </row>
        <row r="353">
          <cell r="B353" t="str">
            <v>MT05100100</v>
          </cell>
          <cell r="C353">
            <v>344</v>
          </cell>
          <cell r="D353" t="str">
            <v>Escavacao manual de vala a frio.</v>
          </cell>
          <cell r="E353" t="str">
            <v>m3</v>
          </cell>
          <cell r="F353">
            <v>22.26</v>
          </cell>
          <cell r="G353">
            <v>3071.18</v>
          </cell>
        </row>
        <row r="354">
          <cell r="B354" t="str">
            <v>MT05150050</v>
          </cell>
          <cell r="C354">
            <v>345</v>
          </cell>
          <cell r="D354" t="str">
            <v>Escavacao manual de vala em lodo, ate 1,50m.</v>
          </cell>
          <cell r="E354" t="str">
            <v>m3</v>
          </cell>
          <cell r="F354">
            <v>24.36</v>
          </cell>
          <cell r="G354">
            <v>1395.9</v>
          </cell>
        </row>
        <row r="355">
          <cell r="B355" t="str">
            <v>PJ25250050</v>
          </cell>
          <cell r="C355">
            <v>346</v>
          </cell>
          <cell r="D355" t="str">
            <v>Balizador modelo Copacabana, cilindrico, liso, pre-fabricado.</v>
          </cell>
          <cell r="E355" t="str">
            <v>un</v>
          </cell>
          <cell r="F355">
            <v>98.43</v>
          </cell>
          <cell r="G355">
            <v>419</v>
          </cell>
        </row>
        <row r="356">
          <cell r="B356" t="str">
            <v>RV10050215</v>
          </cell>
          <cell r="C356">
            <v>347</v>
          </cell>
          <cell r="D356" t="str">
            <v>Revestimento externo, de 1 vez.</v>
          </cell>
          <cell r="E356" t="str">
            <v>m2</v>
          </cell>
          <cell r="F356">
            <v>17.29</v>
          </cell>
          <cell r="G356">
            <v>501.79</v>
          </cell>
        </row>
        <row r="357">
          <cell r="B357" t="str">
            <v>SC35050100</v>
          </cell>
          <cell r="C357">
            <v>348</v>
          </cell>
          <cell r="D357" t="str">
            <v>Levantamento ou rebaixamento de tampao, calçada.</v>
          </cell>
          <cell r="E357" t="str">
            <v>un</v>
          </cell>
          <cell r="F357">
            <v>75.849999999999994</v>
          </cell>
          <cell r="G357">
            <v>121</v>
          </cell>
        </row>
        <row r="358">
          <cell r="B358" t="str">
            <v>SE20100253</v>
          </cell>
          <cell r="C358">
            <v>349</v>
          </cell>
          <cell r="D358" t="str">
            <v>Levantamento topografico planialtimetrico e cadastral.</v>
          </cell>
          <cell r="E358" t="str">
            <v>ha</v>
          </cell>
          <cell r="F358">
            <v>2252.4299999999998</v>
          </cell>
          <cell r="G358">
            <v>5.18</v>
          </cell>
        </row>
        <row r="359">
          <cell r="B359" t="str">
            <v>SE25900300</v>
          </cell>
          <cell r="C359">
            <v>350</v>
          </cell>
          <cell r="D359" t="str">
            <v>Servicos de elaboracao de projeto estrutural final de eng.</v>
          </cell>
          <cell r="E359" t="str">
            <v>m2</v>
          </cell>
          <cell r="F359">
            <v>37.130000000000003</v>
          </cell>
          <cell r="G359">
            <v>1149</v>
          </cell>
        </row>
        <row r="360">
          <cell r="B360" t="str">
            <v>ST45150100</v>
          </cell>
          <cell r="C360">
            <v>351</v>
          </cell>
          <cell r="D360" t="str">
            <v>Caixa com tampa de ferro leve 600L-900mm,CET-RIO.</v>
          </cell>
          <cell r="E360" t="str">
            <v xml:space="preserve">un  </v>
          </cell>
          <cell r="F360">
            <v>295.7</v>
          </cell>
          <cell r="G360">
            <v>41</v>
          </cell>
        </row>
        <row r="361">
          <cell r="B361" t="str">
            <v>TC05100050</v>
          </cell>
          <cell r="C361">
            <v>352</v>
          </cell>
          <cell r="D361" t="str">
            <v>Transporte horizontal material em carrinho de mao.</v>
          </cell>
          <cell r="E361" t="str">
            <v>t.dam</v>
          </cell>
          <cell r="F361">
            <v>1.19</v>
          </cell>
          <cell r="G361">
            <v>103434.34</v>
          </cell>
        </row>
        <row r="362">
          <cell r="B362" t="str">
            <v>TC10050350</v>
          </cell>
          <cell r="C362">
            <v>353</v>
          </cell>
          <cell r="D362" t="str">
            <v>Carga e descarga mecanica, com Pa-Carregadeira.</v>
          </cell>
          <cell r="E362" t="str">
            <v xml:space="preserve">t </v>
          </cell>
          <cell r="F362">
            <v>0.51</v>
          </cell>
          <cell r="G362">
            <v>43094.67</v>
          </cell>
        </row>
        <row r="363">
          <cell r="B363" t="str">
            <v>UNI</v>
          </cell>
          <cell r="C363" t="str">
            <v>N1</v>
          </cell>
          <cell r="D363" t="str">
            <v>Tampa light 80x80cm</v>
          </cell>
          <cell r="E363" t="str">
            <v>un</v>
          </cell>
          <cell r="F363">
            <v>259.04000000000002</v>
          </cell>
        </row>
        <row r="365">
          <cell r="B365" t="str">
            <v>ITENS FGV</v>
          </cell>
        </row>
        <row r="366">
          <cell r="B366" t="str">
            <v>BP10050653</v>
          </cell>
          <cell r="C366" t="str">
            <v>F1</v>
          </cell>
          <cell r="D366" t="str">
            <v>Revestimento de CBUQ, com 5cm de espessura.</v>
          </cell>
          <cell r="E366" t="str">
            <v>m2</v>
          </cell>
          <cell r="F366">
            <v>12.77</v>
          </cell>
        </row>
        <row r="367">
          <cell r="B367" t="str">
            <v>BP20200053</v>
          </cell>
          <cell r="C367" t="str">
            <v>F2</v>
          </cell>
          <cell r="D367" t="str">
            <v>Meio-fio de concreto pre-moldado altura de 0,45m.</v>
          </cell>
          <cell r="E367" t="str">
            <v>m</v>
          </cell>
          <cell r="F367">
            <v>21.71</v>
          </cell>
        </row>
        <row r="368">
          <cell r="B368" t="str">
            <v>CE05050050</v>
          </cell>
          <cell r="C368" t="str">
            <v>F3</v>
          </cell>
          <cell r="D368" t="str">
            <v>Prestacao de servicos de engenharia.</v>
          </cell>
          <cell r="E368" t="str">
            <v>hh</v>
          </cell>
          <cell r="F368">
            <v>39.4</v>
          </cell>
        </row>
        <row r="369">
          <cell r="B369" t="str">
            <v>DR30200050</v>
          </cell>
          <cell r="C369" t="str">
            <v>F4</v>
          </cell>
          <cell r="D369" t="str">
            <v>Caixa de inspecao de esgoto, 0,70m de profundidade.</v>
          </cell>
          <cell r="E369" t="str">
            <v>un</v>
          </cell>
          <cell r="F369">
            <v>245.86</v>
          </cell>
        </row>
        <row r="370">
          <cell r="B370" t="str">
            <v>EQ45050150</v>
          </cell>
          <cell r="C370" t="str">
            <v>F5</v>
          </cell>
          <cell r="D370" t="str">
            <v>Compressor de ar. Aluguel produtivo.</v>
          </cell>
          <cell r="E370" t="str">
            <v>h</v>
          </cell>
          <cell r="F370">
            <v>26.28</v>
          </cell>
        </row>
        <row r="371">
          <cell r="B371" t="str">
            <v>ET60050100</v>
          </cell>
          <cell r="C371" t="str">
            <v>F6</v>
          </cell>
          <cell r="D371" t="str">
            <v>Concreto usinado 40Mpa.</v>
          </cell>
          <cell r="E371" t="str">
            <v>m3</v>
          </cell>
          <cell r="F371">
            <v>274.33999999999997</v>
          </cell>
        </row>
        <row r="372">
          <cell r="B372" t="str">
            <v>IP05100400</v>
          </cell>
          <cell r="C372" t="str">
            <v>F7</v>
          </cell>
          <cell r="D372" t="str">
            <v>Poste Multi-Uso de aco, reto, cilindrico de 5,60m.</v>
          </cell>
          <cell r="E372" t="str">
            <v>par</v>
          </cell>
          <cell r="F372">
            <v>1366</v>
          </cell>
        </row>
        <row r="373">
          <cell r="B373" t="str">
            <v>IP05100850</v>
          </cell>
          <cell r="C373" t="str">
            <v>F8</v>
          </cell>
          <cell r="D373" t="str">
            <v>Poste Multi-Uso de aco, reto, cilindrico de 9,5m.</v>
          </cell>
          <cell r="E373" t="str">
            <v>un</v>
          </cell>
          <cell r="F373">
            <v>2656.14</v>
          </cell>
        </row>
        <row r="374">
          <cell r="B374" t="str">
            <v>IP05250150</v>
          </cell>
          <cell r="C374" t="str">
            <v>F9</v>
          </cell>
          <cell r="D374" t="str">
            <v>Poste de aco, reto, de 4,50m ate 6m. Assentamento.</v>
          </cell>
          <cell r="E374" t="str">
            <v>un</v>
          </cell>
          <cell r="F374">
            <v>53.59</v>
          </cell>
        </row>
        <row r="375">
          <cell r="B375" t="str">
            <v>IP05250200</v>
          </cell>
          <cell r="C375" t="str">
            <v>F10</v>
          </cell>
          <cell r="D375" t="str">
            <v>Poste de aco, reto, de 7m ate 12m. Assentamento.</v>
          </cell>
          <cell r="E375" t="str">
            <v>un</v>
          </cell>
          <cell r="F375">
            <v>108.83</v>
          </cell>
        </row>
        <row r="376">
          <cell r="B376" t="str">
            <v>IP05500050</v>
          </cell>
          <cell r="C376" t="str">
            <v>F11</v>
          </cell>
          <cell r="D376" t="str">
            <v>Braco para luminaria de 0,39m.</v>
          </cell>
          <cell r="E376" t="str">
            <v>par</v>
          </cell>
          <cell r="F376">
            <v>63</v>
          </cell>
        </row>
        <row r="377">
          <cell r="B377" t="str">
            <v>IP05500250</v>
          </cell>
          <cell r="C377" t="str">
            <v>F12</v>
          </cell>
          <cell r="D377" t="str">
            <v>Braco para luminaria de 1,35m.</v>
          </cell>
          <cell r="E377" t="str">
            <v>par</v>
          </cell>
          <cell r="F377">
            <v>115</v>
          </cell>
        </row>
        <row r="378">
          <cell r="B378" t="str">
            <v>IP05550050</v>
          </cell>
          <cell r="C378" t="str">
            <v>F13</v>
          </cell>
          <cell r="D378" t="str">
            <v>Braco, padrao RIOLUZ.  Colocacao.</v>
          </cell>
          <cell r="E378" t="str">
            <v>un</v>
          </cell>
          <cell r="F378">
            <v>9.76</v>
          </cell>
        </row>
        <row r="379">
          <cell r="B379" t="str">
            <v>IP05600050</v>
          </cell>
          <cell r="C379" t="str">
            <v>F14</v>
          </cell>
          <cell r="D379" t="str">
            <v>Pintura de braco com 2 demaos de tinta Aluminac.</v>
          </cell>
          <cell r="E379" t="str">
            <v>un</v>
          </cell>
          <cell r="F379">
            <v>12.29</v>
          </cell>
        </row>
        <row r="380">
          <cell r="B380" t="str">
            <v>IP05600103</v>
          </cell>
          <cell r="C380" t="str">
            <v>F15</v>
          </cell>
          <cell r="D380" t="str">
            <v>Pintura de poste de aco, reto, de 4,5m ate 6m.</v>
          </cell>
          <cell r="E380" t="str">
            <v>un</v>
          </cell>
          <cell r="F380">
            <v>14.73</v>
          </cell>
        </row>
        <row r="381">
          <cell r="B381" t="str">
            <v>IP05600109</v>
          </cell>
          <cell r="C381" t="str">
            <v>F16</v>
          </cell>
          <cell r="D381" t="str">
            <v>Pintura de poste de aco reto, de 10m ate 15m.</v>
          </cell>
          <cell r="E381" t="str">
            <v>un</v>
          </cell>
          <cell r="F381">
            <v>54.04</v>
          </cell>
        </row>
        <row r="382">
          <cell r="B382" t="str">
            <v>IP45050250</v>
          </cell>
          <cell r="C382" t="str">
            <v>F17</v>
          </cell>
          <cell r="D382" t="str">
            <v>Rele fotoeletrico, tipo NA, tensao de 127V, 1200VA.</v>
          </cell>
          <cell r="E382" t="str">
            <v>un</v>
          </cell>
          <cell r="F382">
            <v>11.85</v>
          </cell>
        </row>
        <row r="383">
          <cell r="B383" t="str">
            <v>IP50050059</v>
          </cell>
          <cell r="C383" t="str">
            <v>F18</v>
          </cell>
          <cell r="D383" t="str">
            <v>Luminaria LRJ-25 para lampada de 70W ovoide.</v>
          </cell>
          <cell r="E383" t="str">
            <v>un</v>
          </cell>
          <cell r="F383">
            <v>305.18</v>
          </cell>
        </row>
        <row r="384">
          <cell r="B384" t="str">
            <v>IP50050250</v>
          </cell>
          <cell r="C384" t="str">
            <v>F19</v>
          </cell>
          <cell r="D384" t="str">
            <v>Luminaria LRJ-24 para lampada de 250W tubular.</v>
          </cell>
          <cell r="E384" t="str">
            <v>un</v>
          </cell>
          <cell r="F384">
            <v>361.15</v>
          </cell>
        </row>
        <row r="385">
          <cell r="B385" t="str">
            <v>IP50200106</v>
          </cell>
          <cell r="C385" t="str">
            <v>F20</v>
          </cell>
          <cell r="D385" t="str">
            <v>Nucleo simples para luminarias LRJ-09/16/25.</v>
          </cell>
          <cell r="E385" t="str">
            <v>un</v>
          </cell>
          <cell r="F385">
            <v>40</v>
          </cell>
        </row>
        <row r="386">
          <cell r="B386" t="str">
            <v>IP50200150</v>
          </cell>
          <cell r="C386" t="str">
            <v>F21</v>
          </cell>
          <cell r="D386" t="str">
            <v>Nucleo duplo para luminarias LRJ-01/17/23/24/30/31.</v>
          </cell>
          <cell r="E386" t="str">
            <v>un</v>
          </cell>
          <cell r="F386">
            <v>67</v>
          </cell>
        </row>
        <row r="387">
          <cell r="B387" t="str">
            <v>IP50250421</v>
          </cell>
          <cell r="C387" t="str">
            <v>F22</v>
          </cell>
          <cell r="D387" t="str">
            <v>Lampada de multivapor metalica (MVM) de 250W.</v>
          </cell>
          <cell r="E387" t="str">
            <v>un</v>
          </cell>
          <cell r="F387">
            <v>83.9</v>
          </cell>
        </row>
        <row r="388">
          <cell r="B388" t="str">
            <v>IP50400103</v>
          </cell>
          <cell r="C388" t="str">
            <v>F23</v>
          </cell>
          <cell r="D388" t="str">
            <v>Luminaria fechada com lampada de descarga.</v>
          </cell>
          <cell r="E388" t="str">
            <v>un</v>
          </cell>
          <cell r="F388">
            <v>9.76</v>
          </cell>
        </row>
        <row r="389">
          <cell r="B389" t="str">
            <v>IT25100121</v>
          </cell>
          <cell r="C389" t="str">
            <v>F24</v>
          </cell>
          <cell r="D389" t="str">
            <v>Kanalex diametro de 125mm (5" ).</v>
          </cell>
          <cell r="E389" t="str">
            <v>m</v>
          </cell>
          <cell r="F389">
            <v>10.89</v>
          </cell>
        </row>
        <row r="390">
          <cell r="B390" t="str">
            <v>RV1595005</v>
          </cell>
          <cell r="C390" t="str">
            <v>F25</v>
          </cell>
          <cell r="D390" t="str">
            <v>Piso de alerta em placas marmorizadas, cor vermelha.</v>
          </cell>
          <cell r="E390" t="str">
            <v>m2</v>
          </cell>
          <cell r="F390">
            <v>55.17</v>
          </cell>
        </row>
        <row r="391">
          <cell r="B391" t="str">
            <v>SC05100350</v>
          </cell>
          <cell r="C391" t="str">
            <v>F26</v>
          </cell>
          <cell r="D391" t="str">
            <v>Demolicao com equipamento concreto asfaltico 5cm.</v>
          </cell>
          <cell r="E391" t="str">
            <v>m2</v>
          </cell>
          <cell r="F391">
            <v>5.0999999999999996</v>
          </cell>
        </row>
        <row r="392">
          <cell r="B392" t="str">
            <v>SC05100400</v>
          </cell>
          <cell r="C392" t="str">
            <v>F27</v>
          </cell>
          <cell r="D392" t="str">
            <v>Demolicao com equipamento concreto asfaltico 10cm.</v>
          </cell>
          <cell r="E392" t="str">
            <v>m2</v>
          </cell>
          <cell r="F392">
            <v>7.64</v>
          </cell>
        </row>
        <row r="393">
          <cell r="B393" t="str">
            <v>SC05100450</v>
          </cell>
          <cell r="C393" t="str">
            <v>F28</v>
          </cell>
          <cell r="D393" t="str">
            <v>Demolicao equipamento concreto asfaltico 5cm l=1,20m.</v>
          </cell>
          <cell r="E393" t="str">
            <v>m2</v>
          </cell>
          <cell r="F393">
            <v>5.99</v>
          </cell>
        </row>
        <row r="394">
          <cell r="B394" t="str">
            <v>SC10100100</v>
          </cell>
          <cell r="C394" t="str">
            <v>F29</v>
          </cell>
          <cell r="D394" t="str">
            <v>Operador de trafego, nivel junior.</v>
          </cell>
          <cell r="E394" t="str">
            <v>h</v>
          </cell>
          <cell r="F394">
            <v>10.1</v>
          </cell>
        </row>
        <row r="395">
          <cell r="B395" t="str">
            <v>ST05051050</v>
          </cell>
          <cell r="C395" t="str">
            <v>F30</v>
          </cell>
          <cell r="D395" t="str">
            <v>Sinalizacao horizontal aplicada por aspersao.</v>
          </cell>
          <cell r="E395" t="str">
            <v>m2</v>
          </cell>
          <cell r="F395">
            <v>20.149999999999999</v>
          </cell>
        </row>
        <row r="396">
          <cell r="B396" t="str">
            <v>ST10150350</v>
          </cell>
          <cell r="C396" t="str">
            <v>F31</v>
          </cell>
          <cell r="D396" t="str">
            <v>Conjunto semaforico principal.</v>
          </cell>
          <cell r="E396" t="str">
            <v>un</v>
          </cell>
          <cell r="F396">
            <v>4662</v>
          </cell>
        </row>
        <row r="397">
          <cell r="B397" t="str">
            <v>ST10150400</v>
          </cell>
          <cell r="C397" t="str">
            <v>F32</v>
          </cell>
          <cell r="D397" t="str">
            <v>Conjunto semaforico repetidor.</v>
          </cell>
          <cell r="E397" t="str">
            <v>un</v>
          </cell>
          <cell r="F397">
            <v>2243.85</v>
          </cell>
        </row>
        <row r="398">
          <cell r="B398" t="str">
            <v>ST20100050</v>
          </cell>
          <cell r="C398" t="str">
            <v>F33</v>
          </cell>
          <cell r="D398" t="str">
            <v>Aluguel mensal de radio transmissor-receptor.</v>
          </cell>
          <cell r="E398" t="str">
            <v>mes</v>
          </cell>
          <cell r="F398">
            <v>70</v>
          </cell>
        </row>
        <row r="399">
          <cell r="B399" t="str">
            <v>ST15050100</v>
          </cell>
          <cell r="C399" t="str">
            <v>F34</v>
          </cell>
          <cell r="D399" t="str">
            <v>Portico, coluna tubular, em aco galvanizado.</v>
          </cell>
          <cell r="E399" t="str">
            <v>un</v>
          </cell>
          <cell r="F399">
            <v>35622.78</v>
          </cell>
        </row>
        <row r="400">
          <cell r="B400" t="str">
            <v>TC10050050</v>
          </cell>
          <cell r="C400" t="str">
            <v>F35</v>
          </cell>
          <cell r="D400" t="str">
            <v>Carga e descarga manual de material.</v>
          </cell>
          <cell r="E400" t="str">
            <v>t</v>
          </cell>
          <cell r="F400">
            <v>20.36</v>
          </cell>
        </row>
        <row r="401">
          <cell r="B401" t="str">
            <v>DR10050053</v>
          </cell>
          <cell r="C401" t="str">
            <v>F36</v>
          </cell>
          <cell r="D401" t="str">
            <v>Tubo de ferro fundido, ductil, classe K-9,ø 100mm.</v>
          </cell>
          <cell r="E401" t="str">
            <v>m</v>
          </cell>
          <cell r="F401">
            <v>139.33000000000001</v>
          </cell>
        </row>
        <row r="402">
          <cell r="B402" t="str">
            <v>ST05051800</v>
          </cell>
          <cell r="C402" t="str">
            <v>F37</v>
          </cell>
          <cell r="D402" t="str">
            <v>Tachao bidirecional, conforme especificacao CET-RIO.  Fornecimento.</v>
          </cell>
          <cell r="E402" t="str">
            <v>un</v>
          </cell>
          <cell r="F402">
            <v>21.9</v>
          </cell>
        </row>
        <row r="403">
          <cell r="B403" t="str">
            <v>IP50050253</v>
          </cell>
          <cell r="C403" t="str">
            <v>F38</v>
          </cell>
          <cell r="D403" t="str">
            <v>Luminaria LRJ-33 para lampada vapor de sodio ou multivapor metalico de 250W, IP-66, vidro curvo, corpo em aluminio injetado, para encaixe em tubo com diametro de 60,3mm, com equipamento auxiliar integrado (EM-RIOLUZ no 30), refletor em chapa de aluminio 9</v>
          </cell>
          <cell r="E403" t="str">
            <v>un</v>
          </cell>
          <cell r="F403">
            <v>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ONT"/>
      <sheetName val="RESUMO"/>
      <sheetName val="ACA - 01"/>
      <sheetName val="ACA - 02"/>
      <sheetName val="ACA - 03"/>
      <sheetName val="ACA - 04"/>
      <sheetName val="ACA - 04b"/>
      <sheetName val="ACA - 05"/>
      <sheetName val="ACA - 06"/>
      <sheetName val="ACA - 07"/>
      <sheetName val="ACA - 08"/>
      <sheetName val="ACA - 08b"/>
      <sheetName val="ACA - 09"/>
    </sheetNames>
    <sheetDataSet>
      <sheetData sheetId="0">
        <row r="5">
          <cell r="B5" t="str">
            <v>CÓDIGO</v>
          </cell>
          <cell r="C5" t="str">
            <v>ITEM</v>
          </cell>
          <cell r="D5" t="str">
            <v>DESCRIÇÃO DO INSUMO</v>
          </cell>
          <cell r="E5" t="str">
            <v>UNID.</v>
          </cell>
          <cell r="F5" t="str">
            <v>PÇO. UNIT.</v>
          </cell>
          <cell r="G5" t="str">
            <v>QTDE. CONTRATO</v>
          </cell>
        </row>
        <row r="6">
          <cell r="B6" t="str">
            <v>AD05050100</v>
          </cell>
          <cell r="C6">
            <v>1</v>
          </cell>
          <cell r="D6" t="str">
            <v>Ensaio de andensamento edométrico em solo.</v>
          </cell>
          <cell r="E6" t="str">
            <v>un</v>
          </cell>
          <cell r="F6">
            <v>509.17</v>
          </cell>
          <cell r="G6">
            <v>44</v>
          </cell>
        </row>
        <row r="7">
          <cell r="B7" t="str">
            <v>AD05050200</v>
          </cell>
          <cell r="C7">
            <v>2</v>
          </cell>
          <cell r="D7" t="str">
            <v>Ensaio de laboratorio da Densidade Real.</v>
          </cell>
          <cell r="E7" t="str">
            <v>un</v>
          </cell>
          <cell r="F7">
            <v>56.78</v>
          </cell>
          <cell r="G7">
            <v>29</v>
          </cell>
        </row>
        <row r="8">
          <cell r="B8" t="str">
            <v>AD05050250</v>
          </cell>
          <cell r="C8">
            <v>3</v>
          </cell>
          <cell r="D8" t="str">
            <v>Ensaio em laboratorio do Limite de Liquidez.</v>
          </cell>
          <cell r="E8" t="str">
            <v>un</v>
          </cell>
          <cell r="F8">
            <v>41.29</v>
          </cell>
          <cell r="G8">
            <v>14</v>
          </cell>
        </row>
        <row r="9">
          <cell r="B9" t="str">
            <v>AD05050300</v>
          </cell>
          <cell r="C9">
            <v>4</v>
          </cell>
          <cell r="D9" t="str">
            <v xml:space="preserve">Ensaio em laboratório do limite de plasticidade. </v>
          </cell>
          <cell r="E9" t="str">
            <v>un</v>
          </cell>
          <cell r="F9">
            <v>41.29</v>
          </cell>
          <cell r="G9">
            <v>14</v>
          </cell>
        </row>
        <row r="10">
          <cell r="B10" t="str">
            <v>AD05050350</v>
          </cell>
          <cell r="C10">
            <v>5</v>
          </cell>
          <cell r="D10" t="str">
            <v>Ensaio em laboratório, do Peso Especifico.</v>
          </cell>
          <cell r="E10" t="str">
            <v>un</v>
          </cell>
          <cell r="F10">
            <v>22.86</v>
          </cell>
          <cell r="G10">
            <v>29</v>
          </cell>
        </row>
        <row r="11">
          <cell r="B11" t="str">
            <v>AD05050450</v>
          </cell>
          <cell r="C11">
            <v>6</v>
          </cell>
          <cell r="D11" t="str">
            <v>Ensaio Índice de Suporte Califórnia - Proctor Normal.</v>
          </cell>
          <cell r="E11" t="str">
            <v>un</v>
          </cell>
          <cell r="F11">
            <v>414.42</v>
          </cell>
          <cell r="G11">
            <v>43</v>
          </cell>
        </row>
        <row r="12">
          <cell r="B12" t="str">
            <v>AD05050700</v>
          </cell>
          <cell r="C12">
            <v>7</v>
          </cell>
          <cell r="D12" t="str">
            <v>Sondagem manual com pa e picareta por metro.</v>
          </cell>
          <cell r="E12" t="str">
            <v>m</v>
          </cell>
          <cell r="F12">
            <v>56.78</v>
          </cell>
          <cell r="G12">
            <v>280</v>
          </cell>
        </row>
        <row r="13">
          <cell r="B13" t="str">
            <v>AD20050050</v>
          </cell>
          <cell r="C13">
            <v>8</v>
          </cell>
          <cell r="D13" t="str">
            <v>Barracão de obra com paredes de madeira.</v>
          </cell>
          <cell r="E13" t="str">
            <v>m2</v>
          </cell>
          <cell r="F13">
            <v>141.75</v>
          </cell>
          <cell r="G13">
            <v>250</v>
          </cell>
        </row>
        <row r="14">
          <cell r="B14" t="str">
            <v>AD20050300</v>
          </cell>
          <cell r="C14">
            <v>9</v>
          </cell>
          <cell r="D14" t="str">
            <v>Tapume de vedação ou proteção.</v>
          </cell>
          <cell r="E14" t="str">
            <v>m2</v>
          </cell>
          <cell r="F14">
            <v>19.16</v>
          </cell>
          <cell r="G14">
            <v>24000</v>
          </cell>
        </row>
        <row r="15">
          <cell r="B15" t="str">
            <v>AD20200050</v>
          </cell>
          <cell r="C15">
            <v>10</v>
          </cell>
          <cell r="D15" t="str">
            <v>Instalação e ligação provisórias de energia.</v>
          </cell>
          <cell r="E15" t="str">
            <v>un</v>
          </cell>
          <cell r="F15">
            <v>595.94000000000005</v>
          </cell>
          <cell r="G15">
            <v>2</v>
          </cell>
        </row>
        <row r="16">
          <cell r="B16" t="str">
            <v xml:space="preserve">AD40050056 </v>
          </cell>
          <cell r="C16">
            <v>11</v>
          </cell>
          <cell r="D16" t="str">
            <v xml:space="preserve">Almoxarife(inclusive encargos sociais). </v>
          </cell>
          <cell r="E16" t="str">
            <v>h</v>
          </cell>
          <cell r="F16">
            <v>6.48</v>
          </cell>
          <cell r="G16">
            <v>1480</v>
          </cell>
        </row>
        <row r="17">
          <cell r="B17" t="str">
            <v>AD40050068</v>
          </cell>
          <cell r="C17">
            <v>12</v>
          </cell>
          <cell r="D17" t="str">
            <v>Apontador(inclusive encargos sociais).</v>
          </cell>
          <cell r="E17" t="str">
            <v>h</v>
          </cell>
          <cell r="F17">
            <v>6.48</v>
          </cell>
          <cell r="G17">
            <v>1480</v>
          </cell>
        </row>
        <row r="18">
          <cell r="B18" t="str">
            <v>AD40050074</v>
          </cell>
          <cell r="C18">
            <v>13</v>
          </cell>
          <cell r="D18" t="str">
            <v>Auxiliar de almoxarife(inclusive encargos sociais).</v>
          </cell>
          <cell r="E18" t="str">
            <v>h</v>
          </cell>
          <cell r="F18">
            <v>4.41</v>
          </cell>
          <cell r="G18">
            <v>1480</v>
          </cell>
        </row>
        <row r="19">
          <cell r="B19" t="str">
            <v>AD40050080</v>
          </cell>
          <cell r="C19">
            <v>14</v>
          </cell>
          <cell r="D19" t="str">
            <v>Auxiliar de escritório(inclusive encargos sociais).</v>
          </cell>
          <cell r="E19" t="str">
            <v>h</v>
          </cell>
          <cell r="F19">
            <v>5.32</v>
          </cell>
          <cell r="G19">
            <v>1480</v>
          </cell>
        </row>
        <row r="20">
          <cell r="B20" t="str">
            <v>AD40050086</v>
          </cell>
          <cell r="C20">
            <v>15</v>
          </cell>
          <cell r="D20" t="str">
            <v>Auxiliar técnico(inclusive encargos sociais).</v>
          </cell>
          <cell r="E20" t="str">
            <v>h</v>
          </cell>
          <cell r="F20">
            <v>8.1</v>
          </cell>
          <cell r="G20">
            <v>1480</v>
          </cell>
        </row>
        <row r="21">
          <cell r="B21" t="str">
            <v>AD40050092</v>
          </cell>
          <cell r="C21">
            <v>16</v>
          </cell>
          <cell r="D21" t="str">
            <v xml:space="preserve">Auxiliar de topografia(inclusive encargos sociais).     </v>
          </cell>
          <cell r="E21" t="str">
            <v>h</v>
          </cell>
          <cell r="F21">
            <v>4.5</v>
          </cell>
          <cell r="G21">
            <v>1480</v>
          </cell>
        </row>
        <row r="22">
          <cell r="B22" t="str">
            <v>AD40050098</v>
          </cell>
          <cell r="C22">
            <v>17</v>
          </cell>
          <cell r="D22" t="str">
            <v xml:space="preserve">Chefe de escritório(inclusive encargos sociais). </v>
          </cell>
          <cell r="E22" t="str">
            <v>h</v>
          </cell>
          <cell r="F22">
            <v>13.02</v>
          </cell>
          <cell r="G22">
            <v>1480</v>
          </cell>
        </row>
        <row r="23">
          <cell r="B23" t="str">
            <v>AD40050116</v>
          </cell>
          <cell r="C23">
            <v>18</v>
          </cell>
          <cell r="D23" t="str">
            <v>Encarregado(inclusive encargos sociais).</v>
          </cell>
          <cell r="E23" t="str">
            <v>h</v>
          </cell>
          <cell r="F23">
            <v>8.3699999999999992</v>
          </cell>
          <cell r="G23">
            <v>2960</v>
          </cell>
        </row>
        <row r="24">
          <cell r="B24" t="str">
            <v xml:space="preserve"> AD40050122</v>
          </cell>
          <cell r="C24">
            <v>19</v>
          </cell>
          <cell r="D24" t="str">
            <v>Engenheiro ou arquiteto jr(inclusive encargos sociais).</v>
          </cell>
          <cell r="E24" t="str">
            <v>h</v>
          </cell>
          <cell r="F24">
            <v>21.39</v>
          </cell>
          <cell r="G24">
            <v>1480</v>
          </cell>
        </row>
        <row r="25">
          <cell r="B25" t="str">
            <v>AD40050134</v>
          </cell>
          <cell r="C25">
            <v>20</v>
          </cell>
          <cell r="D25" t="str">
            <v xml:space="preserve">Engenheiro sênior(inclusive encargos sociais).  </v>
          </cell>
          <cell r="E25" t="str">
            <v>h</v>
          </cell>
          <cell r="F25">
            <v>54.35</v>
          </cell>
          <cell r="G25">
            <v>1110</v>
          </cell>
        </row>
        <row r="26">
          <cell r="B26" t="str">
            <v>AD40050146</v>
          </cell>
          <cell r="C26">
            <v>21</v>
          </cell>
          <cell r="D26" t="str">
            <v xml:space="preserve">Estagiário(inclusive encargos sociais).  </v>
          </cell>
          <cell r="E26" t="str">
            <v>h</v>
          </cell>
          <cell r="F26">
            <v>2.76</v>
          </cell>
          <cell r="G26">
            <v>2960</v>
          </cell>
        </row>
        <row r="27">
          <cell r="B27" t="str">
            <v>AD40050188</v>
          </cell>
          <cell r="C27">
            <v>22</v>
          </cell>
          <cell r="D27" t="str">
            <v>Secretaria(inclusive encargos sociais).</v>
          </cell>
          <cell r="E27" t="str">
            <v>h</v>
          </cell>
          <cell r="F27">
            <v>9.24</v>
          </cell>
          <cell r="G27">
            <v>1480</v>
          </cell>
        </row>
        <row r="28">
          <cell r="B28" t="str">
            <v>AD40050200</v>
          </cell>
          <cell r="C28">
            <v>23</v>
          </cell>
          <cell r="D28" t="str">
            <v xml:space="preserve">Supervisor de trafego(inclusive encargos sociais).    </v>
          </cell>
          <cell r="E28" t="str">
            <v>h</v>
          </cell>
          <cell r="F28">
            <v>29.17</v>
          </cell>
          <cell r="G28">
            <v>2960</v>
          </cell>
        </row>
        <row r="29">
          <cell r="B29" t="str">
            <v>AD40050212</v>
          </cell>
          <cell r="C29">
            <v>24</v>
          </cell>
          <cell r="D29" t="str">
            <v xml:space="preserve">Topógrafo A(inclusive encargos sociais).  </v>
          </cell>
          <cell r="E29" t="str">
            <v>h</v>
          </cell>
          <cell r="F29">
            <v>13.78</v>
          </cell>
          <cell r="G29">
            <v>740</v>
          </cell>
        </row>
        <row r="30">
          <cell r="B30" t="str">
            <v>AD40050218</v>
          </cell>
          <cell r="C30">
            <v>25</v>
          </cell>
          <cell r="D30" t="str">
            <v>Vigia(inclusive encargos sociais).</v>
          </cell>
          <cell r="E30" t="str">
            <v>h</v>
          </cell>
          <cell r="F30">
            <v>4.63</v>
          </cell>
          <cell r="G30">
            <v>2960</v>
          </cell>
        </row>
        <row r="31">
          <cell r="B31" t="str">
            <v xml:space="preserve"> AD10050050</v>
          </cell>
          <cell r="C31">
            <v>26</v>
          </cell>
          <cell r="D31" t="str">
            <v>Marcação de obra sem instrumento topográfico.</v>
          </cell>
          <cell r="E31" t="str">
            <v>m2</v>
          </cell>
          <cell r="F31">
            <v>0.95</v>
          </cell>
          <cell r="G31">
            <v>400</v>
          </cell>
        </row>
        <row r="32">
          <cell r="B32" t="str">
            <v>AD10100100</v>
          </cell>
          <cell r="C32">
            <v>27</v>
          </cell>
          <cell r="D32" t="str">
            <v>Locação de obra com aparelho topográfico.</v>
          </cell>
          <cell r="E32" t="str">
            <v>m</v>
          </cell>
          <cell r="F32">
            <v>6.75</v>
          </cell>
          <cell r="G32">
            <v>410</v>
          </cell>
        </row>
        <row r="33">
          <cell r="B33" t="str">
            <v>AD15150750</v>
          </cell>
          <cell r="C33">
            <v>28</v>
          </cell>
          <cell r="D33" t="str">
            <v>Veiculo motor 1.0 a gasolina sem motorista.</v>
          </cell>
          <cell r="E33" t="str">
            <v>mês</v>
          </cell>
          <cell r="F33">
            <v>1269.6600000000001</v>
          </cell>
          <cell r="G33">
            <v>8</v>
          </cell>
        </row>
        <row r="34">
          <cell r="B34" t="str">
            <v>AD20250050</v>
          </cell>
          <cell r="C34">
            <v>29</v>
          </cell>
          <cell r="D34" t="str">
            <v>Barragem de bloqueio, reaproveitamento 40 vezes.</v>
          </cell>
          <cell r="E34" t="str">
            <v>m</v>
          </cell>
          <cell r="F34">
            <v>0.98</v>
          </cell>
          <cell r="G34">
            <v>970</v>
          </cell>
        </row>
        <row r="35">
          <cell r="B35" t="str">
            <v>AD20250100</v>
          </cell>
          <cell r="C35">
            <v>30</v>
          </cell>
          <cell r="D35" t="str">
            <v>Barragem de bloqueio de obra, colocação e retirada.</v>
          </cell>
          <cell r="E35" t="str">
            <v>m</v>
          </cell>
          <cell r="F35">
            <v>3.26</v>
          </cell>
          <cell r="G35">
            <v>4200</v>
          </cell>
        </row>
        <row r="36">
          <cell r="B36" t="str">
            <v>AD20250200</v>
          </cell>
          <cell r="C36">
            <v>31</v>
          </cell>
          <cell r="D36" t="str">
            <v>Placa de sinalização para obra de via publica.</v>
          </cell>
          <cell r="E36" t="str">
            <v>un</v>
          </cell>
          <cell r="F36">
            <v>37.67</v>
          </cell>
          <cell r="G36">
            <v>43</v>
          </cell>
        </row>
        <row r="37">
          <cell r="B37" t="str">
            <v>AD20250250</v>
          </cell>
          <cell r="C37">
            <v>32</v>
          </cell>
          <cell r="D37" t="str">
            <v>Placa de sinalização para obra, colocação e retirada.</v>
          </cell>
          <cell r="E37" t="str">
            <v>un</v>
          </cell>
          <cell r="F37">
            <v>0.89</v>
          </cell>
          <cell r="G37">
            <v>173</v>
          </cell>
        </row>
        <row r="38">
          <cell r="B38" t="str">
            <v>AD20250300</v>
          </cell>
          <cell r="C38">
            <v>33</v>
          </cell>
          <cell r="D38" t="str">
            <v>Placa de identificação de obra publica.</v>
          </cell>
          <cell r="E38" t="str">
            <v>m2</v>
          </cell>
          <cell r="F38">
            <v>166.66</v>
          </cell>
          <cell r="G38">
            <v>22.4</v>
          </cell>
        </row>
        <row r="39">
          <cell r="B39" t="str">
            <v>AD25050050</v>
          </cell>
          <cell r="C39">
            <v>34</v>
          </cell>
          <cell r="D39" t="str">
            <v>Aluguel de balizador vaga-lume.</v>
          </cell>
          <cell r="E39" t="str">
            <v>mês</v>
          </cell>
          <cell r="F39">
            <v>86.83</v>
          </cell>
          <cell r="G39">
            <v>960</v>
          </cell>
        </row>
        <row r="40">
          <cell r="B40" t="str">
            <v xml:space="preserve">AD25050200/  </v>
          </cell>
          <cell r="C40">
            <v>35</v>
          </cell>
          <cell r="D40" t="str">
            <v>Aluguel de cavalete plástico universa.</v>
          </cell>
          <cell r="E40" t="str">
            <v>un.mês</v>
          </cell>
          <cell r="F40">
            <v>86.83</v>
          </cell>
          <cell r="G40">
            <v>600</v>
          </cell>
        </row>
        <row r="41">
          <cell r="B41" t="str">
            <v>AD25050250</v>
          </cell>
          <cell r="C41">
            <v>36</v>
          </cell>
          <cell r="D41" t="str">
            <v>Aluguel de cone canalizador empinhavel T-Topde.</v>
          </cell>
          <cell r="E41" t="str">
            <v>un.mês</v>
          </cell>
          <cell r="F41">
            <v>32.29</v>
          </cell>
          <cell r="G41">
            <v>600</v>
          </cell>
        </row>
        <row r="42">
          <cell r="B42" t="str">
            <v>AD35150050A</v>
          </cell>
          <cell r="C42">
            <v>37</v>
          </cell>
          <cell r="D42" t="str">
            <v>Controle tecnológico de obras em concreto armado.</v>
          </cell>
          <cell r="E42" t="str">
            <v>m3</v>
          </cell>
          <cell r="F42">
            <v>12.32</v>
          </cell>
          <cell r="G42">
            <v>382</v>
          </cell>
        </row>
        <row r="43">
          <cell r="B43" t="str">
            <v xml:space="preserve">SE25100100A  </v>
          </cell>
          <cell r="C43">
            <v>38</v>
          </cell>
          <cell r="D43" t="str">
            <v>Projeto executivo para urbanização/reurbanização.</v>
          </cell>
          <cell r="E43" t="str">
            <v>há</v>
          </cell>
          <cell r="F43">
            <v>34610.160000000003</v>
          </cell>
          <cell r="G43">
            <v>5.18</v>
          </cell>
        </row>
        <row r="44">
          <cell r="B44" t="str">
            <v>SE20100050</v>
          </cell>
          <cell r="C44">
            <v>39</v>
          </cell>
          <cell r="D44" t="str">
            <v>Lançamento de linha poligonal básica.</v>
          </cell>
          <cell r="E44" t="str">
            <v>Km</v>
          </cell>
          <cell r="F44">
            <v>159.44</v>
          </cell>
          <cell r="G44">
            <v>1</v>
          </cell>
        </row>
        <row r="45">
          <cell r="B45" t="str">
            <v>SE20102500A</v>
          </cell>
          <cell r="C45">
            <v>40</v>
          </cell>
          <cell r="D45" t="str">
            <v>Nivelamento de eixo de logradouro.</v>
          </cell>
          <cell r="E45" t="str">
            <v>Km</v>
          </cell>
          <cell r="F45">
            <v>74.489999999999995</v>
          </cell>
          <cell r="G45">
            <v>1</v>
          </cell>
        </row>
        <row r="46">
          <cell r="B46" t="str">
            <v>SE20150050</v>
          </cell>
          <cell r="C46">
            <v>41</v>
          </cell>
          <cell r="D46" t="str">
            <v>Levantamento fotográfico de aspecto de área urbana.</v>
          </cell>
          <cell r="E46" t="str">
            <v>un</v>
          </cell>
          <cell r="F46">
            <v>1.8</v>
          </cell>
          <cell r="G46">
            <v>259</v>
          </cell>
        </row>
        <row r="47">
          <cell r="B47" t="str">
            <v>SE20150250</v>
          </cell>
          <cell r="C47">
            <v>42</v>
          </cell>
          <cell r="D47" t="str">
            <v>Levantamento fotográfico aéreo vertical de área urbana.</v>
          </cell>
          <cell r="E47" t="str">
            <v>conj</v>
          </cell>
          <cell r="F47">
            <v>8267.76</v>
          </cell>
          <cell r="G47">
            <v>1</v>
          </cell>
        </row>
        <row r="48">
          <cell r="B48" t="str">
            <v>SE20101600</v>
          </cell>
          <cell r="C48">
            <v>43</v>
          </cell>
          <cell r="D48" t="str">
            <v>Levantamento cadastral das profundidades de tubos.</v>
          </cell>
          <cell r="E48" t="str">
            <v>un</v>
          </cell>
          <cell r="F48">
            <v>23.05</v>
          </cell>
          <cell r="G48">
            <v>137</v>
          </cell>
        </row>
        <row r="49">
          <cell r="B49" t="str">
            <v>SE30050100</v>
          </cell>
          <cell r="C49">
            <v>44</v>
          </cell>
          <cell r="D49" t="str">
            <v>Determinação da deformação com Viga Benkelmann.</v>
          </cell>
          <cell r="E49" t="str">
            <v>un</v>
          </cell>
          <cell r="F49">
            <v>53.9</v>
          </cell>
          <cell r="G49">
            <v>144</v>
          </cell>
        </row>
        <row r="50">
          <cell r="B50" t="str">
            <v>CE05100110</v>
          </cell>
          <cell r="C50">
            <v>45</v>
          </cell>
          <cell r="D50" t="str">
            <v>Consultor de serviços técnicos especializados.</v>
          </cell>
          <cell r="E50" t="str">
            <v>h</v>
          </cell>
          <cell r="F50">
            <v>89.23</v>
          </cell>
          <cell r="G50">
            <v>726</v>
          </cell>
        </row>
        <row r="51">
          <cell r="B51" t="str">
            <v>CO05050500</v>
          </cell>
          <cell r="C51">
            <v>46</v>
          </cell>
          <cell r="D51" t="str">
            <v>Plataforma ou passarela de Pinho.</v>
          </cell>
          <cell r="E51" t="str">
            <v>m2</v>
          </cell>
          <cell r="F51">
            <v>2.31</v>
          </cell>
          <cell r="G51">
            <v>187</v>
          </cell>
        </row>
        <row r="52">
          <cell r="B52" t="str">
            <v>CO05100050</v>
          </cell>
          <cell r="C52">
            <v>47</v>
          </cell>
          <cell r="D52" t="str">
            <v>Aluguel de andaime tubular sobre sapatas fixas.</v>
          </cell>
          <cell r="E52" t="str">
            <v>m2.mês</v>
          </cell>
          <cell r="F52">
            <v>2.2000000000000002</v>
          </cell>
          <cell r="G52">
            <v>2100</v>
          </cell>
        </row>
        <row r="53">
          <cell r="B53" t="str">
            <v>CO05150100</v>
          </cell>
          <cell r="C53">
            <v>48</v>
          </cell>
          <cell r="D53" t="str">
            <v>Montagem e desmontagem de andaime tubular.</v>
          </cell>
          <cell r="E53" t="str">
            <v>m2</v>
          </cell>
          <cell r="F53">
            <v>1.77</v>
          </cell>
          <cell r="G53">
            <v>350</v>
          </cell>
        </row>
        <row r="54">
          <cell r="B54" t="str">
            <v>CO05150300</v>
          </cell>
          <cell r="C54">
            <v>49</v>
          </cell>
          <cell r="D54" t="str">
            <v>Movimentação vertical ou horizontal de plataforma.</v>
          </cell>
          <cell r="E54" t="str">
            <v>m2</v>
          </cell>
          <cell r="F54">
            <v>0.14000000000000001</v>
          </cell>
          <cell r="G54">
            <v>350</v>
          </cell>
        </row>
        <row r="55">
          <cell r="B55" t="str">
            <v>MT05300100</v>
          </cell>
          <cell r="C55">
            <v>50</v>
          </cell>
          <cell r="D55" t="str">
            <v>Escavação manual em material de 1a categoria.</v>
          </cell>
          <cell r="E55" t="str">
            <v>m3</v>
          </cell>
          <cell r="F55">
            <v>12.4</v>
          </cell>
          <cell r="G55">
            <v>10700</v>
          </cell>
        </row>
        <row r="56">
          <cell r="B56" t="str">
            <v>MT10050050</v>
          </cell>
          <cell r="C56">
            <v>51</v>
          </cell>
          <cell r="D56" t="str">
            <v xml:space="preserve">Escavação mecânica, utilizando Retro-Escavadeira. </v>
          </cell>
          <cell r="E56" t="str">
            <v>m3</v>
          </cell>
          <cell r="F56">
            <v>2.77</v>
          </cell>
          <cell r="G56">
            <v>36800</v>
          </cell>
        </row>
        <row r="57">
          <cell r="B57" t="str">
            <v>MT10100050</v>
          </cell>
          <cell r="C57">
            <v>52</v>
          </cell>
          <cell r="D57" t="str">
            <v>Escavação mecânica, utilizando Escavadeira.</v>
          </cell>
          <cell r="E57" t="str">
            <v>m3</v>
          </cell>
          <cell r="F57">
            <v>0.96</v>
          </cell>
          <cell r="G57">
            <v>7300</v>
          </cell>
        </row>
        <row r="58">
          <cell r="B58" t="str">
            <v>MT15050250</v>
          </cell>
          <cell r="C58">
            <v>53</v>
          </cell>
          <cell r="D58" t="str">
            <v xml:space="preserve">Reaterro de vala com material de boa qualidade. </v>
          </cell>
          <cell r="E58" t="str">
            <v>m3</v>
          </cell>
          <cell r="F58">
            <v>9.3000000000000007</v>
          </cell>
          <cell r="G58">
            <v>13700</v>
          </cell>
        </row>
        <row r="59">
          <cell r="B59" t="str">
            <v>MT15050300</v>
          </cell>
          <cell r="C59">
            <v>54</v>
          </cell>
          <cell r="D59" t="str">
            <v>Reaterro de vala, com po-de-pedra.</v>
          </cell>
          <cell r="E59" t="str">
            <v>m3</v>
          </cell>
          <cell r="F59">
            <v>36.18</v>
          </cell>
          <cell r="G59">
            <v>19600</v>
          </cell>
        </row>
        <row r="60">
          <cell r="B60" t="str">
            <v>MT05250050</v>
          </cell>
          <cell r="C60">
            <v>55</v>
          </cell>
          <cell r="D60" t="str">
            <v>Desmonte manual de bloco de 3a categoria.</v>
          </cell>
          <cell r="E60" t="str">
            <v>m3</v>
          </cell>
          <cell r="F60">
            <v>32.14</v>
          </cell>
          <cell r="G60">
            <v>7050</v>
          </cell>
        </row>
        <row r="61">
          <cell r="B61" t="str">
            <v>MT05450050</v>
          </cell>
          <cell r="C61">
            <v>56</v>
          </cell>
          <cell r="D61" t="str">
            <v>Desmonte a fogo de bloco de material de 3a categoria.</v>
          </cell>
          <cell r="E61" t="str">
            <v>m3</v>
          </cell>
          <cell r="F61">
            <v>66.56</v>
          </cell>
          <cell r="G61">
            <v>8545</v>
          </cell>
        </row>
        <row r="62">
          <cell r="B62" t="str">
            <v>MT15150050</v>
          </cell>
          <cell r="C62">
            <v>57</v>
          </cell>
          <cell r="D62" t="str">
            <v>Preparo de solo ate 30cm de profundidade.</v>
          </cell>
          <cell r="E62" t="str">
            <v>m2</v>
          </cell>
          <cell r="F62">
            <v>5.46</v>
          </cell>
          <cell r="G62">
            <v>17842</v>
          </cell>
        </row>
        <row r="63">
          <cell r="B63" t="str">
            <v>MT20050050</v>
          </cell>
          <cell r="C63">
            <v>58</v>
          </cell>
          <cell r="D63" t="str">
            <v>Espalhamento de material de 1a categoria.</v>
          </cell>
          <cell r="E63" t="str">
            <v>m3</v>
          </cell>
          <cell r="F63">
            <v>0.24</v>
          </cell>
          <cell r="G63">
            <v>70776</v>
          </cell>
        </row>
        <row r="64">
          <cell r="B64" t="str">
            <v>TC05050350</v>
          </cell>
          <cell r="C64">
            <v>59</v>
          </cell>
          <cell r="D64" t="str">
            <v>Transporte de carga de qualquer natureza.</v>
          </cell>
          <cell r="E64" t="str">
            <v>t.Km</v>
          </cell>
          <cell r="F64">
            <v>0.39</v>
          </cell>
          <cell r="G64">
            <v>1880000</v>
          </cell>
        </row>
        <row r="65">
          <cell r="B65" t="str">
            <v>TC10050150</v>
          </cell>
          <cell r="C65">
            <v>60</v>
          </cell>
          <cell r="D65" t="str">
            <v>Carga manual e descarga mecânica.</v>
          </cell>
          <cell r="E65" t="str">
            <v>t</v>
          </cell>
          <cell r="F65">
            <v>7.38</v>
          </cell>
          <cell r="G65">
            <v>47000</v>
          </cell>
        </row>
        <row r="66">
          <cell r="B66" t="str">
            <v>EQ05050100A</v>
          </cell>
          <cell r="C66">
            <v>61</v>
          </cell>
          <cell r="D66" t="str">
            <v xml:space="preserve">Caminhão basculante. Custo horário produtivo.     </v>
          </cell>
          <cell r="E66" t="str">
            <v>h</v>
          </cell>
          <cell r="F66">
            <v>45.34</v>
          </cell>
          <cell r="G66">
            <v>2446</v>
          </cell>
        </row>
        <row r="67">
          <cell r="B67" t="str">
            <v>EQ05050103A</v>
          </cell>
          <cell r="C67">
            <v>62</v>
          </cell>
          <cell r="D67" t="str">
            <v>Caminhão basculante. Custo horário improdutivo.</v>
          </cell>
          <cell r="E67" t="str">
            <v>h</v>
          </cell>
          <cell r="F67">
            <v>25.39</v>
          </cell>
          <cell r="G67">
            <v>432</v>
          </cell>
        </row>
        <row r="68">
          <cell r="B68" t="str">
            <v>EQ05050300</v>
          </cell>
          <cell r="C68">
            <v>63</v>
          </cell>
          <cell r="D68" t="str">
            <v>Caminhão com Carroceria Fixa. Aluguel produtivo.</v>
          </cell>
          <cell r="E68" t="str">
            <v>h</v>
          </cell>
          <cell r="F68">
            <v>32.28</v>
          </cell>
          <cell r="G68">
            <v>1957</v>
          </cell>
        </row>
        <row r="69">
          <cell r="B69" t="str">
            <v>EQ05050306</v>
          </cell>
          <cell r="C69">
            <v>64</v>
          </cell>
          <cell r="D69" t="str">
            <v>Caminhão com Carroceria Fixa. Aluguel improdutivo.</v>
          </cell>
          <cell r="E69" t="str">
            <v>h</v>
          </cell>
          <cell r="F69">
            <v>8.5399999999999991</v>
          </cell>
          <cell r="G69">
            <v>346</v>
          </cell>
        </row>
        <row r="70">
          <cell r="B70" t="str">
            <v>EQ05050415</v>
          </cell>
          <cell r="C70">
            <v>65</v>
          </cell>
          <cell r="D70" t="str">
            <v xml:space="preserve">Caminhão Carroceria Fixa F-12000 Munck produtivo.               </v>
          </cell>
          <cell r="E70" t="str">
            <v>h</v>
          </cell>
          <cell r="F70">
            <v>53.72</v>
          </cell>
          <cell r="G70">
            <v>3453</v>
          </cell>
        </row>
        <row r="71">
          <cell r="B71" t="str">
            <v>EQ15050450</v>
          </cell>
          <cell r="C71">
            <v>66</v>
          </cell>
          <cell r="D71" t="str">
            <v xml:space="preserve">Pa-carregadeira(Carregador frontal). Custo produtivo.  </v>
          </cell>
          <cell r="E71" t="str">
            <v>h</v>
          </cell>
          <cell r="F71">
            <v>68.34</v>
          </cell>
          <cell r="G71">
            <v>1345</v>
          </cell>
        </row>
        <row r="72">
          <cell r="B72" t="str">
            <v>EQ15050453</v>
          </cell>
          <cell r="C72">
            <v>67</v>
          </cell>
          <cell r="D72" t="str">
            <v>Pa-carregadeira(Carregador Frontal).Custo improdutivo.</v>
          </cell>
          <cell r="E72" t="str">
            <v>h</v>
          </cell>
          <cell r="F72">
            <v>31.05</v>
          </cell>
          <cell r="G72">
            <v>237</v>
          </cell>
        </row>
        <row r="73">
          <cell r="B73" t="str">
            <v>EQ15050500</v>
          </cell>
          <cell r="C73">
            <v>68</v>
          </cell>
          <cell r="D73" t="str">
            <v xml:space="preserve">Retro-Escavadeira/carregadeira. Custo produtivo. </v>
          </cell>
          <cell r="E73" t="str">
            <v>h</v>
          </cell>
          <cell r="F73">
            <v>45.49</v>
          </cell>
          <cell r="G73">
            <v>1439</v>
          </cell>
        </row>
        <row r="74">
          <cell r="B74" t="str">
            <v>EQ30050200</v>
          </cell>
          <cell r="C74">
            <v>69</v>
          </cell>
          <cell r="D74" t="str">
            <v>Betoneira com capacidade de 580l, Aluguel produtivo.</v>
          </cell>
          <cell r="E74" t="str">
            <v>h</v>
          </cell>
          <cell r="F74">
            <v>4.71</v>
          </cell>
          <cell r="G74">
            <v>2041</v>
          </cell>
        </row>
        <row r="75">
          <cell r="B75" t="str">
            <v>EQ30050206</v>
          </cell>
          <cell r="C75">
            <v>70</v>
          </cell>
          <cell r="D75" t="str">
            <v>Betoneira com capacidade de 580l Aluguel improdutivo.</v>
          </cell>
          <cell r="E75" t="str">
            <v>h</v>
          </cell>
          <cell r="F75">
            <v>1.56</v>
          </cell>
          <cell r="G75">
            <v>216</v>
          </cell>
        </row>
        <row r="76">
          <cell r="B76" t="str">
            <v>EQ15050550</v>
          </cell>
          <cell r="C76">
            <v>71</v>
          </cell>
          <cell r="D76" t="str">
            <v xml:space="preserve">Rompedor Pneumático de 32,6Kg Aluguel produtivo. </v>
          </cell>
          <cell r="E76" t="str">
            <v>h</v>
          </cell>
          <cell r="F76">
            <v>1.05</v>
          </cell>
          <cell r="G76">
            <v>648</v>
          </cell>
        </row>
        <row r="77">
          <cell r="B77" t="str">
            <v>EQ15050556</v>
          </cell>
          <cell r="C77">
            <v>72</v>
          </cell>
          <cell r="D77" t="str">
            <v>Rompedor Pneumático de 32,6Kg Aluguel improdutivo.</v>
          </cell>
          <cell r="E77" t="str">
            <v>h</v>
          </cell>
          <cell r="F77">
            <v>0.7</v>
          </cell>
          <cell r="G77">
            <v>72</v>
          </cell>
        </row>
        <row r="78">
          <cell r="B78" t="str">
            <v xml:space="preserve"> EQ20050800</v>
          </cell>
          <cell r="C78">
            <v>73</v>
          </cell>
          <cell r="D78" t="str">
            <v xml:space="preserve">Vassoura Mecânica, rebocável, Aluguel produtivo.   </v>
          </cell>
          <cell r="E78" t="str">
            <v>h</v>
          </cell>
          <cell r="F78">
            <v>3.58</v>
          </cell>
          <cell r="G78">
            <v>1712</v>
          </cell>
        </row>
        <row r="79">
          <cell r="B79" t="str">
            <v>EQ20050806</v>
          </cell>
          <cell r="C79">
            <v>74</v>
          </cell>
          <cell r="D79" t="str">
            <v>Vassoura Mecânica, rebocável, Aluguel improdutivo.</v>
          </cell>
          <cell r="E79" t="str">
            <v>h</v>
          </cell>
          <cell r="F79">
            <v>1.43</v>
          </cell>
          <cell r="G79">
            <v>216</v>
          </cell>
        </row>
        <row r="80">
          <cell r="B80" t="str">
            <v>EQ35100200</v>
          </cell>
          <cell r="C80">
            <v>75</v>
          </cell>
          <cell r="D80" t="str">
            <v xml:space="preserve">Bomba Centrífuga Submersível. Aluguel produtivo.    </v>
          </cell>
          <cell r="E80" t="str">
            <v>h</v>
          </cell>
          <cell r="F80">
            <v>3.6</v>
          </cell>
          <cell r="G80">
            <v>8632</v>
          </cell>
        </row>
        <row r="81">
          <cell r="B81" t="str">
            <v>EQ35100203</v>
          </cell>
          <cell r="C81">
            <v>76</v>
          </cell>
          <cell r="D81" t="str">
            <v>Bomba Centrífuga Submersível. Aluguel improdutivo.</v>
          </cell>
          <cell r="E81" t="str">
            <v>h</v>
          </cell>
          <cell r="F81">
            <v>1.4</v>
          </cell>
          <cell r="G81">
            <v>863</v>
          </cell>
        </row>
        <row r="82">
          <cell r="B82" t="str">
            <v>EQ45050159</v>
          </cell>
          <cell r="C82">
            <v>77</v>
          </cell>
          <cell r="D82" t="str">
            <v>Compressor de ar. Aluguel improdutivo.</v>
          </cell>
          <cell r="E82" t="str">
            <v>h</v>
          </cell>
          <cell r="F82">
            <v>3.64</v>
          </cell>
          <cell r="G82">
            <v>72</v>
          </cell>
        </row>
        <row r="83">
          <cell r="B83" t="str">
            <v>EQ45150100</v>
          </cell>
          <cell r="C83">
            <v>78</v>
          </cell>
          <cell r="D83" t="str">
            <v>Retificador de solda elétrica de 430A.</v>
          </cell>
          <cell r="E83" t="str">
            <v>h</v>
          </cell>
          <cell r="F83">
            <v>7.16</v>
          </cell>
          <cell r="G83">
            <v>1007</v>
          </cell>
        </row>
        <row r="84">
          <cell r="B84" t="str">
            <v>EQ40050150A</v>
          </cell>
          <cell r="C84">
            <v>79</v>
          </cell>
          <cell r="D84" t="str">
            <v>Equipamento de jato d'água (Sewer-Jet ou similar).</v>
          </cell>
          <cell r="E84" t="str">
            <v>h</v>
          </cell>
          <cell r="F84">
            <v>79.2</v>
          </cell>
          <cell r="G84">
            <v>1079</v>
          </cell>
        </row>
        <row r="85">
          <cell r="B85" t="str">
            <v>EQ40050153A</v>
          </cell>
          <cell r="C85">
            <v>80</v>
          </cell>
          <cell r="D85" t="str">
            <v>Equipamento de alta pressão  (Vac-All ou similar).</v>
          </cell>
          <cell r="E85" t="str">
            <v>h</v>
          </cell>
          <cell r="F85">
            <v>104.07</v>
          </cell>
          <cell r="G85">
            <v>1942</v>
          </cell>
        </row>
        <row r="86">
          <cell r="B86" t="str">
            <v>SC05050050</v>
          </cell>
          <cell r="C86">
            <v>81</v>
          </cell>
          <cell r="D86" t="str">
            <v>Arrancamento de aparelhos de iluminação.</v>
          </cell>
          <cell r="E86" t="str">
            <v>un</v>
          </cell>
          <cell r="F86">
            <v>1.67</v>
          </cell>
          <cell r="G86">
            <v>65</v>
          </cell>
        </row>
        <row r="87">
          <cell r="B87" t="str">
            <v>SC05050200</v>
          </cell>
          <cell r="C87">
            <v>82</v>
          </cell>
          <cell r="D87" t="str">
            <v>Arrancamento de grades, gradis, alambrados, cercas.</v>
          </cell>
          <cell r="E87" t="str">
            <v>m2</v>
          </cell>
          <cell r="F87">
            <v>4.43</v>
          </cell>
          <cell r="G87">
            <v>144</v>
          </cell>
        </row>
        <row r="88">
          <cell r="B88" t="str">
            <v>SC05050250</v>
          </cell>
          <cell r="C88">
            <v>83</v>
          </cell>
          <cell r="D88" t="str">
            <v>Arrancamento de meios-fios, de granito ou concreto.</v>
          </cell>
          <cell r="E88" t="str">
            <v>m</v>
          </cell>
          <cell r="F88">
            <v>4.87</v>
          </cell>
          <cell r="G88">
            <v>3739</v>
          </cell>
        </row>
        <row r="89">
          <cell r="B89" t="str">
            <v>SC05050300</v>
          </cell>
          <cell r="C89">
            <v>84</v>
          </cell>
          <cell r="D89" t="str">
            <v>Arrancamento de paralelepípedos.</v>
          </cell>
          <cell r="E89" t="str">
            <v>m2</v>
          </cell>
          <cell r="F89">
            <v>2.21</v>
          </cell>
          <cell r="G89">
            <v>860</v>
          </cell>
        </row>
        <row r="90">
          <cell r="B90" t="str">
            <v>SC05050500</v>
          </cell>
          <cell r="C90">
            <v>85</v>
          </cell>
          <cell r="D90" t="str">
            <v>Arrancamento tubos concreto manilhas ø 0,40 a 0,60m.</v>
          </cell>
          <cell r="E90" t="str">
            <v>m</v>
          </cell>
          <cell r="F90">
            <v>3.99</v>
          </cell>
          <cell r="G90">
            <v>328</v>
          </cell>
        </row>
        <row r="91">
          <cell r="B91" t="str">
            <v>SC05050601</v>
          </cell>
          <cell r="C91">
            <v>86</v>
          </cell>
          <cell r="D91" t="str">
            <v>Demolição manual de alvenaria de pedra argamassada.</v>
          </cell>
          <cell r="E91" t="str">
            <v>m3</v>
          </cell>
          <cell r="F91">
            <v>30.27</v>
          </cell>
          <cell r="G91">
            <v>324</v>
          </cell>
        </row>
        <row r="92">
          <cell r="B92" t="str">
            <v>SC05050750</v>
          </cell>
          <cell r="C92">
            <v>87</v>
          </cell>
          <cell r="D92" t="str">
            <v>Demolição manual de alvenaria de tijolos maciços.</v>
          </cell>
          <cell r="E92" t="str">
            <v>m3</v>
          </cell>
          <cell r="F92">
            <v>52.99</v>
          </cell>
          <cell r="G92">
            <v>130</v>
          </cell>
        </row>
        <row r="93">
          <cell r="B93" t="str">
            <v>SC05050850</v>
          </cell>
          <cell r="C93">
            <v>88</v>
          </cell>
          <cell r="D93" t="str">
            <v>Demolição manual de concreto simples.</v>
          </cell>
          <cell r="E93" t="str">
            <v>m3</v>
          </cell>
          <cell r="F93">
            <v>60.55</v>
          </cell>
          <cell r="G93">
            <v>1904</v>
          </cell>
        </row>
        <row r="94">
          <cell r="B94" t="str">
            <v>SC05050950</v>
          </cell>
          <cell r="C94">
            <v>89</v>
          </cell>
          <cell r="D94" t="str">
            <v>Demolição manual de concreto armado.</v>
          </cell>
          <cell r="E94" t="str">
            <v>m3</v>
          </cell>
          <cell r="F94">
            <v>85.78</v>
          </cell>
          <cell r="G94">
            <v>140</v>
          </cell>
        </row>
        <row r="95">
          <cell r="B95" t="str">
            <v>SC05051400</v>
          </cell>
          <cell r="C95">
            <v>90</v>
          </cell>
          <cell r="D95" t="str">
            <v>Demolição de revestimento em argamassa.</v>
          </cell>
          <cell r="E95" t="str">
            <v>m2</v>
          </cell>
          <cell r="F95">
            <v>2.21</v>
          </cell>
          <cell r="G95">
            <v>144</v>
          </cell>
        </row>
        <row r="96">
          <cell r="B96" t="str">
            <v>SC05051450</v>
          </cell>
          <cell r="C96">
            <v>91</v>
          </cell>
          <cell r="D96" t="str">
            <v>Demolição de revestimento em azulejos, cerâmicas.</v>
          </cell>
          <cell r="E96" t="str">
            <v>m2</v>
          </cell>
          <cell r="F96">
            <v>5.31</v>
          </cell>
          <cell r="G96">
            <v>130</v>
          </cell>
        </row>
        <row r="97">
          <cell r="B97" t="str">
            <v>SC05052150</v>
          </cell>
          <cell r="C97">
            <v>92</v>
          </cell>
          <cell r="D97" t="str">
            <v>Remoção de cobertura de telha francesa.</v>
          </cell>
          <cell r="E97" t="str">
            <v>m2</v>
          </cell>
          <cell r="F97">
            <v>8.26</v>
          </cell>
          <cell r="G97">
            <v>260</v>
          </cell>
        </row>
        <row r="98">
          <cell r="B98" t="str">
            <v>SC05052450</v>
          </cell>
          <cell r="C98">
            <v>93</v>
          </cell>
          <cell r="D98" t="str">
            <v>Remoção de cobertura de telha de fibro-cimento.</v>
          </cell>
          <cell r="E98" t="str">
            <v>m2</v>
          </cell>
          <cell r="F98">
            <v>3.87</v>
          </cell>
          <cell r="G98">
            <v>460</v>
          </cell>
        </row>
        <row r="99">
          <cell r="B99" t="str">
            <v>SC05052900</v>
          </cell>
          <cell r="C99">
            <v>94</v>
          </cell>
          <cell r="D99" t="str">
            <v xml:space="preserve">Remoção manual de passeio de pedra portuguesa. </v>
          </cell>
          <cell r="E99" t="str">
            <v>m2</v>
          </cell>
          <cell r="F99">
            <v>2.44</v>
          </cell>
          <cell r="G99">
            <v>2900</v>
          </cell>
        </row>
        <row r="100">
          <cell r="B100" t="str">
            <v>SC05053250</v>
          </cell>
          <cell r="C100">
            <v>95</v>
          </cell>
          <cell r="D100" t="str">
            <v>Remoção de tubulação ferro fundido ø50mm a 300mm.</v>
          </cell>
          <cell r="E100" t="str">
            <v>m</v>
          </cell>
          <cell r="F100">
            <v>11.88</v>
          </cell>
          <cell r="G100">
            <v>290</v>
          </cell>
        </row>
        <row r="101">
          <cell r="B101" t="str">
            <v>SC05100150</v>
          </cell>
          <cell r="C101">
            <v>96</v>
          </cell>
          <cell r="D101" t="str">
            <v>Demolição, com equipamento, concreto simples.</v>
          </cell>
          <cell r="E101" t="str">
            <v>m3</v>
          </cell>
          <cell r="F101">
            <v>43.52</v>
          </cell>
          <cell r="G101">
            <v>2160</v>
          </cell>
        </row>
        <row r="102">
          <cell r="B102" t="str">
            <v>SC05100300</v>
          </cell>
          <cell r="C102">
            <v>97</v>
          </cell>
          <cell r="D102" t="str">
            <v>Demolição, com equipamento concreto armado.</v>
          </cell>
          <cell r="E102" t="str">
            <v>m3</v>
          </cell>
          <cell r="F102">
            <v>73.98</v>
          </cell>
          <cell r="G102">
            <v>3400</v>
          </cell>
        </row>
        <row r="103">
          <cell r="B103" t="str">
            <v>SC05100500</v>
          </cell>
          <cell r="C103">
            <v>98</v>
          </cell>
          <cell r="D103" t="str">
            <v>Demolição com equip. concreto asfáltico 10cm.</v>
          </cell>
          <cell r="E103" t="str">
            <v>m2</v>
          </cell>
          <cell r="F103">
            <v>8.98</v>
          </cell>
          <cell r="G103">
            <v>20100</v>
          </cell>
        </row>
        <row r="104">
          <cell r="B104" t="str">
            <v>SC10050250</v>
          </cell>
          <cell r="C104">
            <v>99</v>
          </cell>
          <cell r="D104" t="str">
            <v xml:space="preserve">Bombeiro hidráulico (inclusive encargos sociais).   </v>
          </cell>
          <cell r="E104" t="str">
            <v>h</v>
          </cell>
          <cell r="F104">
            <v>6.48</v>
          </cell>
          <cell r="G104">
            <v>2960</v>
          </cell>
        </row>
        <row r="105">
          <cell r="B105" t="str">
            <v>SC10050300</v>
          </cell>
          <cell r="C105">
            <v>100</v>
          </cell>
          <cell r="D105" t="str">
            <v xml:space="preserve">Calceteiro (inclusive encargos sociais).   </v>
          </cell>
          <cell r="E105" t="str">
            <v>h</v>
          </cell>
          <cell r="F105">
            <v>5.99</v>
          </cell>
          <cell r="G105">
            <v>1480</v>
          </cell>
        </row>
        <row r="106">
          <cell r="B106" t="str">
            <v>SC10050350</v>
          </cell>
          <cell r="C106">
            <v>101</v>
          </cell>
          <cell r="D106" t="str">
            <v>Carpinteiro de forma (inclusive encargos sociais).</v>
          </cell>
          <cell r="E106" t="str">
            <v>h</v>
          </cell>
          <cell r="F106">
            <v>5.99</v>
          </cell>
          <cell r="G106">
            <v>1480</v>
          </cell>
        </row>
        <row r="107">
          <cell r="B107" t="str">
            <v>SC10050450</v>
          </cell>
          <cell r="C107">
            <v>102</v>
          </cell>
          <cell r="D107" t="str">
            <v xml:space="preserve">Eletricista (inclusive encargos sociais). </v>
          </cell>
          <cell r="E107" t="str">
            <v>h</v>
          </cell>
          <cell r="F107">
            <v>6.48</v>
          </cell>
          <cell r="G107">
            <v>2960</v>
          </cell>
        </row>
        <row r="108">
          <cell r="B108" t="str">
            <v>SC10050900</v>
          </cell>
          <cell r="C108">
            <v>103</v>
          </cell>
          <cell r="D108" t="str">
            <v xml:space="preserve">Marteleteiro (inclusive encargos sociais). </v>
          </cell>
          <cell r="E108" t="str">
            <v>h</v>
          </cell>
          <cell r="F108">
            <v>5.99</v>
          </cell>
          <cell r="G108">
            <v>2960</v>
          </cell>
        </row>
        <row r="109">
          <cell r="B109" t="str">
            <v>SC10051100</v>
          </cell>
          <cell r="C109">
            <v>104</v>
          </cell>
          <cell r="D109" t="str">
            <v>Operador de máquinas.(inclusive encargos sociais).</v>
          </cell>
          <cell r="E109" t="str">
            <v>h</v>
          </cell>
          <cell r="F109">
            <v>6.48</v>
          </cell>
          <cell r="G109">
            <v>1480</v>
          </cell>
        </row>
        <row r="110">
          <cell r="B110" t="str">
            <v>SC10051200</v>
          </cell>
          <cell r="C110">
            <v>105</v>
          </cell>
          <cell r="D110" t="str">
            <v xml:space="preserve">Pedreiro (inclusive encargos sociais).   </v>
          </cell>
          <cell r="E110" t="str">
            <v>h</v>
          </cell>
          <cell r="F110">
            <v>5.99</v>
          </cell>
          <cell r="G110">
            <v>2960</v>
          </cell>
        </row>
        <row r="111">
          <cell r="B111" t="str">
            <v>SC10051450</v>
          </cell>
          <cell r="C111">
            <v>106</v>
          </cell>
          <cell r="D111" t="str">
            <v>Servente (inclusive encargos sociais).</v>
          </cell>
          <cell r="E111" t="str">
            <v>h</v>
          </cell>
          <cell r="F111">
            <v>4.3</v>
          </cell>
          <cell r="G111">
            <v>5920</v>
          </cell>
        </row>
        <row r="112">
          <cell r="B112" t="str">
            <v>SC10051500</v>
          </cell>
          <cell r="C112">
            <v>107</v>
          </cell>
          <cell r="D112" t="str">
            <v>Soldador em construção civil (inclusive encargos).</v>
          </cell>
          <cell r="E112" t="str">
            <v>h</v>
          </cell>
          <cell r="F112">
            <v>6.23</v>
          </cell>
          <cell r="G112">
            <v>1480</v>
          </cell>
        </row>
        <row r="113">
          <cell r="B113" t="str">
            <v>SC10100050</v>
          </cell>
          <cell r="C113">
            <v>108</v>
          </cell>
          <cell r="D113" t="str">
            <v xml:space="preserve">Operador de tráfego(inclusive encargos sociais). </v>
          </cell>
          <cell r="E113" t="str">
            <v>h</v>
          </cell>
          <cell r="F113">
            <v>7.08</v>
          </cell>
          <cell r="G113">
            <v>2960</v>
          </cell>
        </row>
        <row r="114">
          <cell r="B114" t="str">
            <v>SC05100050</v>
          </cell>
          <cell r="C114">
            <v>109</v>
          </cell>
          <cell r="D114" t="str">
            <v>Arrancamento de tampão de ferro fundido.</v>
          </cell>
          <cell r="E114" t="str">
            <v>un</v>
          </cell>
          <cell r="F114">
            <v>15.18</v>
          </cell>
          <cell r="G114">
            <v>22</v>
          </cell>
        </row>
        <row r="115">
          <cell r="B115" t="str">
            <v>SC15050100</v>
          </cell>
          <cell r="C115">
            <v>110</v>
          </cell>
          <cell r="D115" t="str">
            <v>Aditivo de reciclagem para mistura asfáltica a quente.</v>
          </cell>
          <cell r="E115" t="str">
            <v>t</v>
          </cell>
          <cell r="F115">
            <v>2857.32</v>
          </cell>
          <cell r="G115">
            <v>15</v>
          </cell>
        </row>
        <row r="116">
          <cell r="B116" t="str">
            <v>SC15050150</v>
          </cell>
          <cell r="C116">
            <v>111</v>
          </cell>
          <cell r="D116" t="str">
            <v>Areia grossa lavada. Fornecimento.</v>
          </cell>
          <cell r="E116" t="str">
            <v>m3</v>
          </cell>
          <cell r="F116">
            <v>21</v>
          </cell>
          <cell r="G116">
            <v>2000</v>
          </cell>
        </row>
        <row r="117">
          <cell r="B117" t="str">
            <v>SC15050200</v>
          </cell>
          <cell r="C117">
            <v>112</v>
          </cell>
          <cell r="D117" t="str">
            <v>Asfalto diluído tipo cura rápida CR-250</v>
          </cell>
          <cell r="E117" t="str">
            <v>t</v>
          </cell>
          <cell r="F117">
            <v>1468.02</v>
          </cell>
          <cell r="G117">
            <v>7</v>
          </cell>
        </row>
        <row r="118">
          <cell r="B118" t="str">
            <v>SC15050550</v>
          </cell>
          <cell r="C118">
            <v>113</v>
          </cell>
          <cell r="D118" t="str">
            <v xml:space="preserve">Saibro, inclusive transporte ate 20Km.Fornecimento. </v>
          </cell>
          <cell r="E118" t="str">
            <v>m3</v>
          </cell>
          <cell r="F118">
            <v>20.63</v>
          </cell>
          <cell r="G118">
            <v>184</v>
          </cell>
        </row>
        <row r="119">
          <cell r="B119" t="str">
            <v>SC15100050</v>
          </cell>
          <cell r="C119">
            <v>114</v>
          </cell>
          <cell r="D119" t="str">
            <v>Chapa de aço de 3/4"para passagem de veículos.</v>
          </cell>
          <cell r="E119" t="str">
            <v>m2</v>
          </cell>
          <cell r="F119">
            <v>17.100000000000001</v>
          </cell>
          <cell r="G119">
            <v>360</v>
          </cell>
        </row>
        <row r="120">
          <cell r="B120" t="str">
            <v>SC35050050A</v>
          </cell>
          <cell r="C120">
            <v>115</v>
          </cell>
          <cell r="D120" t="str">
            <v>Levantamento ou rebaixamento de tampão na rua.</v>
          </cell>
          <cell r="E120" t="str">
            <v>un</v>
          </cell>
          <cell r="F120">
            <v>86.15</v>
          </cell>
          <cell r="G120">
            <v>169</v>
          </cell>
        </row>
        <row r="121">
          <cell r="B121" t="str">
            <v>SC45050150</v>
          </cell>
          <cell r="C121">
            <v>116</v>
          </cell>
          <cell r="D121" t="str">
            <v>Toten informativo nas dimensões de (0,50x1,50)m.</v>
          </cell>
          <cell r="E121" t="str">
            <v>un</v>
          </cell>
          <cell r="F121">
            <v>2490</v>
          </cell>
          <cell r="G121">
            <v>29</v>
          </cell>
        </row>
        <row r="122">
          <cell r="B122" t="str">
            <v>SC45100200</v>
          </cell>
          <cell r="C122">
            <v>117</v>
          </cell>
          <cell r="D122" t="str">
            <v>Placa de inauguração em bronze.</v>
          </cell>
          <cell r="E122" t="str">
            <v>un</v>
          </cell>
          <cell r="F122">
            <v>1003.36</v>
          </cell>
          <cell r="G122">
            <v>1</v>
          </cell>
        </row>
        <row r="123">
          <cell r="B123" t="str">
            <v>FD05400100</v>
          </cell>
          <cell r="C123">
            <v>118</v>
          </cell>
          <cell r="D123" t="str">
            <v>Arrasamento de estaca concreto armado, ø40 a 50cm.</v>
          </cell>
          <cell r="E123" t="str">
            <v>un</v>
          </cell>
          <cell r="F123">
            <v>103.03</v>
          </cell>
          <cell r="G123">
            <v>23</v>
          </cell>
        </row>
        <row r="124">
          <cell r="B124" t="str">
            <v>FD05500050</v>
          </cell>
          <cell r="C124">
            <v>119</v>
          </cell>
          <cell r="D124" t="str">
            <v>Estaca raiz com diâmetro de 12", perfurada em solo.</v>
          </cell>
          <cell r="E124" t="str">
            <v>m</v>
          </cell>
          <cell r="F124">
            <v>248.49</v>
          </cell>
          <cell r="G124">
            <v>260</v>
          </cell>
        </row>
        <row r="125">
          <cell r="B125" t="str">
            <v>FD05650150</v>
          </cell>
          <cell r="C125">
            <v>120</v>
          </cell>
          <cell r="D125" t="str">
            <v>Estaca raiz com diâmetro de 10", perfurada em solo.</v>
          </cell>
          <cell r="E125" t="str">
            <v>m</v>
          </cell>
          <cell r="F125">
            <v>130</v>
          </cell>
          <cell r="G125">
            <v>86</v>
          </cell>
        </row>
        <row r="126">
          <cell r="B126" t="str">
            <v>FD10050100</v>
          </cell>
          <cell r="C126">
            <v>121</v>
          </cell>
          <cell r="D126" t="str">
            <v>Ensecadeira de estacas-prancha de aço, tipo Armco.</v>
          </cell>
          <cell r="E126" t="str">
            <v>m2</v>
          </cell>
          <cell r="F126">
            <v>127.53</v>
          </cell>
          <cell r="G126">
            <v>4200</v>
          </cell>
        </row>
        <row r="127">
          <cell r="B127" t="str">
            <v>FD10100050</v>
          </cell>
          <cell r="C127">
            <v>122</v>
          </cell>
          <cell r="D127" t="str">
            <v>Ensecadeira de estacas-prancha em Maçaranduba.</v>
          </cell>
          <cell r="E127" t="str">
            <v>m2</v>
          </cell>
          <cell r="F127">
            <v>70.5</v>
          </cell>
          <cell r="G127">
            <v>2395</v>
          </cell>
        </row>
        <row r="128">
          <cell r="B128" t="str">
            <v>ET15100100</v>
          </cell>
          <cell r="C128">
            <v>123</v>
          </cell>
          <cell r="D128" t="str">
            <v>Formas de madeira peças de concreto armado.</v>
          </cell>
          <cell r="E128" t="str">
            <v>m2</v>
          </cell>
          <cell r="F128">
            <v>25.9</v>
          </cell>
          <cell r="G128">
            <v>2986</v>
          </cell>
        </row>
        <row r="129">
          <cell r="B129" t="str">
            <v>ET15100200</v>
          </cell>
          <cell r="C129">
            <v>124</v>
          </cell>
          <cell r="D129" t="str">
            <v>Formas de madeira.</v>
          </cell>
          <cell r="E129" t="str">
            <v>m2</v>
          </cell>
          <cell r="F129">
            <v>34.86</v>
          </cell>
          <cell r="G129">
            <v>4352</v>
          </cell>
        </row>
        <row r="130">
          <cell r="B130" t="str">
            <v>ET15100250</v>
          </cell>
          <cell r="C130">
            <v>125</v>
          </cell>
          <cell r="D130" t="str">
            <v>Formas de madeira.</v>
          </cell>
          <cell r="E130" t="str">
            <v>m2</v>
          </cell>
          <cell r="F130">
            <v>29.62</v>
          </cell>
          <cell r="G130">
            <v>4406</v>
          </cell>
        </row>
        <row r="131">
          <cell r="B131" t="str">
            <v>ET20300050</v>
          </cell>
          <cell r="C131">
            <v>126</v>
          </cell>
          <cell r="D131" t="str">
            <v>Escoramento de formas.</v>
          </cell>
          <cell r="E131" t="str">
            <v>m2</v>
          </cell>
          <cell r="F131">
            <v>11.18</v>
          </cell>
          <cell r="G131">
            <v>3090</v>
          </cell>
        </row>
        <row r="132">
          <cell r="B132" t="str">
            <v>ET10050100</v>
          </cell>
          <cell r="C132">
            <v>127</v>
          </cell>
          <cell r="D132" t="str">
            <v>Aço CA-50 diâmetro de 6,3mm.</v>
          </cell>
          <cell r="E132" t="str">
            <v>kg</v>
          </cell>
          <cell r="F132">
            <v>2.64</v>
          </cell>
          <cell r="G132">
            <v>4750</v>
          </cell>
        </row>
        <row r="133">
          <cell r="B133" t="str">
            <v>ET10050103</v>
          </cell>
          <cell r="C133">
            <v>128</v>
          </cell>
          <cell r="D133" t="str">
            <v>Aço CA-50 diâmetro de 8mm.</v>
          </cell>
          <cell r="E133" t="str">
            <v>kg</v>
          </cell>
          <cell r="F133">
            <v>2.46</v>
          </cell>
          <cell r="G133">
            <v>1250</v>
          </cell>
        </row>
        <row r="134">
          <cell r="B134" t="str">
            <v>ET10050106</v>
          </cell>
          <cell r="C134">
            <v>129</v>
          </cell>
          <cell r="D134" t="str">
            <v>Aço CA-50 diâmetro de 10mm.</v>
          </cell>
          <cell r="E134" t="str">
            <v>kg</v>
          </cell>
          <cell r="F134">
            <v>2.2000000000000002</v>
          </cell>
          <cell r="G134">
            <v>7950</v>
          </cell>
        </row>
        <row r="135">
          <cell r="B135" t="str">
            <v>ET10050109</v>
          </cell>
          <cell r="C135">
            <v>130</v>
          </cell>
          <cell r="D135" t="str">
            <v>Aço CA-50 diâmetro de 12,5mm.</v>
          </cell>
          <cell r="E135" t="str">
            <v>kg</v>
          </cell>
          <cell r="F135">
            <v>2.1800000000000002</v>
          </cell>
          <cell r="G135">
            <v>5400</v>
          </cell>
        </row>
        <row r="136">
          <cell r="B136" t="str">
            <v>ET10050112</v>
          </cell>
          <cell r="C136">
            <v>131</v>
          </cell>
          <cell r="D136" t="str">
            <v>Aço CA-50 diâmetro de 16mm.</v>
          </cell>
          <cell r="E136" t="str">
            <v>kg</v>
          </cell>
          <cell r="F136">
            <v>2.1800000000000002</v>
          </cell>
          <cell r="G136">
            <v>2700</v>
          </cell>
        </row>
        <row r="137">
          <cell r="B137" t="str">
            <v>ET10050118</v>
          </cell>
          <cell r="C137">
            <v>132</v>
          </cell>
          <cell r="D137" t="str">
            <v>Aço CA-50 diâmetro de 25mm.</v>
          </cell>
          <cell r="E137" t="str">
            <v>kg</v>
          </cell>
          <cell r="F137">
            <v>2.19</v>
          </cell>
          <cell r="G137">
            <v>1400</v>
          </cell>
        </row>
        <row r="138">
          <cell r="B138" t="str">
            <v>ET10100056</v>
          </cell>
          <cell r="C138">
            <v>133</v>
          </cell>
          <cell r="D138" t="str">
            <v>Corte, dobragem, montagem aço CA-50 ø 6,3mm.</v>
          </cell>
          <cell r="E138" t="str">
            <v>kg</v>
          </cell>
          <cell r="F138">
            <v>1.28</v>
          </cell>
          <cell r="G138">
            <v>4750</v>
          </cell>
        </row>
        <row r="139">
          <cell r="B139" t="str">
            <v>ET10100062</v>
          </cell>
          <cell r="C139">
            <v>134</v>
          </cell>
          <cell r="D139" t="str">
            <v>Corte, dobragem, montagem aço CA-50 ø 12,5mm.</v>
          </cell>
          <cell r="E139" t="str">
            <v>kg</v>
          </cell>
          <cell r="F139">
            <v>0.96</v>
          </cell>
          <cell r="G139">
            <v>9450</v>
          </cell>
        </row>
        <row r="140">
          <cell r="B140" t="str">
            <v>ET10100065</v>
          </cell>
          <cell r="C140">
            <v>135</v>
          </cell>
          <cell r="D140" t="str">
            <v>Corte, dobragem, montagem aço CA-50 ø 6,3 a 12,5mm.</v>
          </cell>
          <cell r="E140" t="str">
            <v>kg</v>
          </cell>
          <cell r="F140">
            <v>1.1100000000000001</v>
          </cell>
          <cell r="G140">
            <v>13950</v>
          </cell>
        </row>
        <row r="141">
          <cell r="B141" t="str">
            <v>ET05250653</v>
          </cell>
          <cell r="C141">
            <v>136</v>
          </cell>
          <cell r="D141" t="str">
            <v>Lançamento de concreto.</v>
          </cell>
          <cell r="E141" t="str">
            <v>m3</v>
          </cell>
          <cell r="F141">
            <v>22.57</v>
          </cell>
          <cell r="G141">
            <v>187</v>
          </cell>
        </row>
        <row r="142">
          <cell r="B142" t="str">
            <v>ET45100071</v>
          </cell>
          <cell r="C142">
            <v>137</v>
          </cell>
          <cell r="D142" t="str">
            <v>Concreto bombeado usinado fck=30MPa.</v>
          </cell>
          <cell r="E142" t="str">
            <v>m3</v>
          </cell>
          <cell r="F142">
            <v>297.16000000000003</v>
          </cell>
          <cell r="G142">
            <v>195</v>
          </cell>
        </row>
        <row r="143">
          <cell r="B143" t="str">
            <v>ET60050059</v>
          </cell>
          <cell r="C143">
            <v>138</v>
          </cell>
          <cell r="D143" t="str">
            <v>Concreto usinado de 18MPa.</v>
          </cell>
          <cell r="E143" t="str">
            <v>m3</v>
          </cell>
          <cell r="F143">
            <v>185.77</v>
          </cell>
          <cell r="G143">
            <v>187</v>
          </cell>
        </row>
        <row r="144">
          <cell r="B144" t="str">
            <v>ET25050300</v>
          </cell>
          <cell r="C144">
            <v>139</v>
          </cell>
          <cell r="D144" t="str">
            <v>Fornecimento e montagem de estruturas metálicas.</v>
          </cell>
          <cell r="E144" t="str">
            <v>t</v>
          </cell>
          <cell r="F144">
            <v>7186.39</v>
          </cell>
          <cell r="G144">
            <v>36</v>
          </cell>
        </row>
        <row r="145">
          <cell r="B145" t="str">
            <v>ET25050450</v>
          </cell>
          <cell r="C145">
            <v>140</v>
          </cell>
          <cell r="D145" t="str">
            <v>Peças em chapa de aço 3/8", galvanizadas.</v>
          </cell>
          <cell r="E145" t="str">
            <v>Kg</v>
          </cell>
          <cell r="F145">
            <v>3.99</v>
          </cell>
          <cell r="G145">
            <v>2166</v>
          </cell>
        </row>
        <row r="146">
          <cell r="B146" t="str">
            <v>ET25050453</v>
          </cell>
          <cell r="C146">
            <v>141</v>
          </cell>
          <cell r="D146" t="str">
            <v>Peças em chapa de aço 3/8", galvanizadas.</v>
          </cell>
          <cell r="E146" t="str">
            <v>Kg</v>
          </cell>
          <cell r="F146">
            <v>4.26</v>
          </cell>
          <cell r="G146">
            <v>2078</v>
          </cell>
        </row>
        <row r="147">
          <cell r="B147" t="str">
            <v>ET25050456</v>
          </cell>
          <cell r="C147">
            <v>142</v>
          </cell>
          <cell r="D147" t="str">
            <v>Peças em chapa de aço 3/8", galvanizadas.</v>
          </cell>
          <cell r="E147" t="str">
            <v>Kg</v>
          </cell>
          <cell r="F147">
            <v>4.16</v>
          </cell>
          <cell r="G147">
            <v>1820</v>
          </cell>
        </row>
        <row r="148">
          <cell r="B148" t="str">
            <v>ET50050250</v>
          </cell>
          <cell r="C148">
            <v>143</v>
          </cell>
          <cell r="D148" t="str">
            <v>Muro de contenção em solo reforçado.</v>
          </cell>
          <cell r="E148" t="str">
            <v>m2</v>
          </cell>
          <cell r="F148">
            <v>145.63</v>
          </cell>
          <cell r="G148">
            <v>144</v>
          </cell>
        </row>
        <row r="149">
          <cell r="B149" t="str">
            <v>ET55100100</v>
          </cell>
          <cell r="C149">
            <v>144</v>
          </cell>
          <cell r="D149" t="str">
            <v>Canal pré-fabricado, em concreto armado seção U.</v>
          </cell>
          <cell r="E149" t="str">
            <v>m2</v>
          </cell>
          <cell r="F149">
            <v>384.26</v>
          </cell>
          <cell r="G149">
            <v>86</v>
          </cell>
        </row>
        <row r="150">
          <cell r="B150" t="str">
            <v>ET55100150</v>
          </cell>
          <cell r="C150">
            <v>145</v>
          </cell>
          <cell r="D150" t="str">
            <v>Cobertura de canal pré-fabricado em concreto armado.</v>
          </cell>
          <cell r="E150" t="str">
            <v>m2</v>
          </cell>
          <cell r="F150">
            <v>435.06</v>
          </cell>
          <cell r="G150">
            <v>58</v>
          </cell>
        </row>
        <row r="151">
          <cell r="B151" t="str">
            <v>ES05250359</v>
          </cell>
          <cell r="C151">
            <v>146</v>
          </cell>
          <cell r="D151" t="str">
            <v>Gradil em tubo de ferro galvanizado de 1 1/4".</v>
          </cell>
          <cell r="E151" t="str">
            <v>m</v>
          </cell>
          <cell r="F151">
            <v>338.32</v>
          </cell>
          <cell r="G151">
            <v>144</v>
          </cell>
        </row>
        <row r="152">
          <cell r="B152" t="str">
            <v>ES10250150</v>
          </cell>
          <cell r="C152">
            <v>147</v>
          </cell>
          <cell r="D152" t="str">
            <v xml:space="preserve">Peça em Angelim ou similar, de 2"x1".Fornecimento. </v>
          </cell>
          <cell r="E152" t="str">
            <v>m</v>
          </cell>
          <cell r="F152">
            <v>2.14</v>
          </cell>
          <cell r="G152">
            <v>150</v>
          </cell>
        </row>
        <row r="153">
          <cell r="B153" t="str">
            <v>ES10250200</v>
          </cell>
          <cell r="C153">
            <v>148</v>
          </cell>
          <cell r="D153" t="str">
            <v xml:space="preserve">Peça em Ipê ou similar, de 2"x8".  Fornecimento.    </v>
          </cell>
          <cell r="E153" t="str">
            <v>m</v>
          </cell>
          <cell r="F153">
            <v>30.26</v>
          </cell>
          <cell r="G153">
            <v>200</v>
          </cell>
        </row>
        <row r="154">
          <cell r="B154" t="str">
            <v>ES10250262</v>
          </cell>
          <cell r="C154">
            <v>149</v>
          </cell>
          <cell r="D154" t="str">
            <v>Peça em Maçaranduba ou similar, serrada, de 3"x6".</v>
          </cell>
          <cell r="E154" t="str">
            <v>m</v>
          </cell>
          <cell r="F154">
            <v>8.66</v>
          </cell>
          <cell r="G154">
            <v>100</v>
          </cell>
        </row>
        <row r="155">
          <cell r="B155" t="str">
            <v>ES99990050</v>
          </cell>
          <cell r="C155">
            <v>150</v>
          </cell>
          <cell r="D155" t="str">
            <v>Arruela de 5/16", inclusive transporte até a obra.</v>
          </cell>
          <cell r="E155" t="str">
            <v>un</v>
          </cell>
          <cell r="F155">
            <v>0.02</v>
          </cell>
          <cell r="G155">
            <v>863</v>
          </cell>
        </row>
        <row r="156">
          <cell r="B156" t="str">
            <v>ES99990700</v>
          </cell>
          <cell r="C156">
            <v>151</v>
          </cell>
          <cell r="D156" t="str">
            <v>Parafuso de (8x250)mm.</v>
          </cell>
          <cell r="E156" t="str">
            <v>un</v>
          </cell>
          <cell r="F156">
            <v>0.78</v>
          </cell>
          <cell r="G156">
            <v>863</v>
          </cell>
        </row>
        <row r="157">
          <cell r="B157" t="str">
            <v>ES99990800</v>
          </cell>
          <cell r="C157">
            <v>152</v>
          </cell>
          <cell r="D157" t="str">
            <v>Porca de 5/16", inclusive transporte até a obra.</v>
          </cell>
          <cell r="E157" t="str">
            <v>un</v>
          </cell>
          <cell r="F157">
            <v>0.04</v>
          </cell>
          <cell r="G157">
            <v>863</v>
          </cell>
        </row>
        <row r="158">
          <cell r="B158" t="str">
            <v>ES99990900</v>
          </cell>
          <cell r="C158">
            <v>153</v>
          </cell>
          <cell r="D158" t="str">
            <v>Prego com cabeça chata 23x54, em caixa de 100Kg.</v>
          </cell>
          <cell r="E158" t="str">
            <v>Kg</v>
          </cell>
          <cell r="F158">
            <v>3.01</v>
          </cell>
          <cell r="G158">
            <v>332</v>
          </cell>
        </row>
        <row r="159">
          <cell r="B159" t="str">
            <v>IT25100112</v>
          </cell>
          <cell r="C159">
            <v>154</v>
          </cell>
          <cell r="D159" t="str">
            <v>Kanalex diâmetro de 50mm (2" ).</v>
          </cell>
          <cell r="E159" t="str">
            <v>m</v>
          </cell>
          <cell r="F159">
            <v>4.55</v>
          </cell>
          <cell r="G159">
            <v>356</v>
          </cell>
        </row>
        <row r="160">
          <cell r="B160" t="str">
            <v>IT25100115</v>
          </cell>
          <cell r="C160">
            <v>155</v>
          </cell>
          <cell r="D160" t="str">
            <v>Kanalex diâmetro de 75mm (3" ).</v>
          </cell>
          <cell r="E160" t="str">
            <v>m</v>
          </cell>
          <cell r="F160">
            <v>5.98</v>
          </cell>
          <cell r="G160">
            <v>1766</v>
          </cell>
        </row>
        <row r="161">
          <cell r="B161" t="str">
            <v>IT25100118</v>
          </cell>
          <cell r="C161">
            <v>156</v>
          </cell>
          <cell r="D161" t="str">
            <v>Kanalex diâmetro de 100mm (4" ).</v>
          </cell>
          <cell r="E161" t="str">
            <v>m</v>
          </cell>
          <cell r="F161">
            <v>7.02</v>
          </cell>
          <cell r="G161">
            <v>2554</v>
          </cell>
        </row>
        <row r="162">
          <cell r="B162" t="str">
            <v>IT25100159</v>
          </cell>
          <cell r="C162">
            <v>157</v>
          </cell>
          <cell r="D162" t="str">
            <v>Linha dupla de Kanalex diâmetro de 75mm (3" ).</v>
          </cell>
          <cell r="E162" t="str">
            <v>m</v>
          </cell>
          <cell r="F162">
            <v>10.52</v>
          </cell>
          <cell r="G162">
            <v>3705</v>
          </cell>
        </row>
        <row r="163">
          <cell r="B163" t="str">
            <v>IT25100162</v>
          </cell>
          <cell r="C163">
            <v>158</v>
          </cell>
          <cell r="D163" t="str">
            <v>Linha dupla de Kanalex diâmetro de 100mm (4" ).</v>
          </cell>
          <cell r="E163" t="str">
            <v>m</v>
          </cell>
          <cell r="F163">
            <v>21.87</v>
          </cell>
          <cell r="G163">
            <v>6000</v>
          </cell>
        </row>
        <row r="164">
          <cell r="B164" t="str">
            <v xml:space="preserve"> IT25100165</v>
          </cell>
          <cell r="C164">
            <v>159</v>
          </cell>
          <cell r="D164" t="str">
            <v>Linha dupla de Kanalex diâmetro de 125mm (5" ).</v>
          </cell>
          <cell r="E164" t="str">
            <v>m</v>
          </cell>
          <cell r="F164">
            <v>29.6</v>
          </cell>
          <cell r="G164">
            <v>4000</v>
          </cell>
        </row>
        <row r="165">
          <cell r="B165" t="str">
            <v xml:space="preserve"> IT25340321</v>
          </cell>
          <cell r="C165">
            <v>160</v>
          </cell>
          <cell r="D165" t="str">
            <v>Cabo de cobre rígido, seção de 35mm2 XLPE.</v>
          </cell>
          <cell r="E165" t="str">
            <v>m</v>
          </cell>
          <cell r="F165">
            <v>11.38</v>
          </cell>
          <cell r="G165">
            <v>2842</v>
          </cell>
        </row>
        <row r="166">
          <cell r="B166" t="str">
            <v>IT25700100</v>
          </cell>
          <cell r="C166">
            <v>161</v>
          </cell>
          <cell r="D166" t="str">
            <v>Haste para aterramento, de cobre, de 5/8", com 3m.</v>
          </cell>
          <cell r="E166" t="str">
            <v xml:space="preserve"> un</v>
          </cell>
          <cell r="F166">
            <v>60.94</v>
          </cell>
          <cell r="G166">
            <v>29</v>
          </cell>
        </row>
        <row r="167">
          <cell r="B167" t="str">
            <v>IT25990100</v>
          </cell>
          <cell r="C167">
            <v>162</v>
          </cell>
          <cell r="D167" t="str">
            <v>Base de ferro retangular, para caixa subterrânea.</v>
          </cell>
          <cell r="E167" t="str">
            <v xml:space="preserve"> un</v>
          </cell>
          <cell r="F167">
            <v>117.72</v>
          </cell>
          <cell r="G167">
            <v>55</v>
          </cell>
        </row>
        <row r="168">
          <cell r="B168" t="str">
            <v>IT25990103</v>
          </cell>
          <cell r="C168">
            <v>163</v>
          </cell>
          <cell r="D168" t="str">
            <v>Tampa de ferro retangular, medindo (1,07x0,52)m.</v>
          </cell>
          <cell r="E168" t="str">
            <v xml:space="preserve"> un</v>
          </cell>
          <cell r="F168">
            <v>231.13</v>
          </cell>
          <cell r="G168">
            <v>55</v>
          </cell>
        </row>
        <row r="169">
          <cell r="B169" t="str">
            <v>RV15200409</v>
          </cell>
          <cell r="C169">
            <v>164</v>
          </cell>
          <cell r="D169" t="str">
            <v>Revestimento com granito Cinza flameado.</v>
          </cell>
          <cell r="E169" t="str">
            <v>m2</v>
          </cell>
          <cell r="F169">
            <v>82.41</v>
          </cell>
          <cell r="G169">
            <v>152</v>
          </cell>
        </row>
        <row r="170">
          <cell r="B170" t="str">
            <v>RV15250103</v>
          </cell>
          <cell r="C170">
            <v>165</v>
          </cell>
          <cell r="D170" t="str">
            <v>Piso de concreto simples,8cm de espessura.</v>
          </cell>
          <cell r="E170" t="str">
            <v>m2</v>
          </cell>
          <cell r="F170">
            <v>24.65</v>
          </cell>
          <cell r="G170">
            <v>1095</v>
          </cell>
        </row>
        <row r="171">
          <cell r="B171" t="str">
            <v>CI05750050</v>
          </cell>
          <cell r="C171">
            <v>166</v>
          </cell>
          <cell r="D171" t="str">
            <v>Cabine para quiosque em Fiber-Glass.</v>
          </cell>
          <cell r="E171" t="str">
            <v xml:space="preserve"> un   </v>
          </cell>
          <cell r="F171">
            <v>12250.73</v>
          </cell>
          <cell r="G171">
            <v>6</v>
          </cell>
        </row>
        <row r="172">
          <cell r="B172" t="str">
            <v>PT05300250</v>
          </cell>
          <cell r="C172">
            <v>167</v>
          </cell>
          <cell r="D172" t="str">
            <v>Pintura sobre concreto com uma demão de Primer.</v>
          </cell>
          <cell r="E172" t="str">
            <v>m2</v>
          </cell>
          <cell r="F172">
            <v>9.09</v>
          </cell>
          <cell r="G172">
            <v>542</v>
          </cell>
        </row>
        <row r="173">
          <cell r="B173" t="str">
            <v>PT05400106</v>
          </cell>
          <cell r="C173">
            <v>168</v>
          </cell>
          <cell r="D173" t="str">
            <v>Pintura interna ou externa sobre ferro, com esmalte.</v>
          </cell>
          <cell r="E173" t="str">
            <v>m2</v>
          </cell>
          <cell r="F173">
            <v>7.86</v>
          </cell>
          <cell r="G173">
            <v>1262</v>
          </cell>
        </row>
        <row r="174">
          <cell r="B174" t="str">
            <v>DR05200050</v>
          </cell>
          <cell r="C174">
            <v>169</v>
          </cell>
          <cell r="D174" t="str">
            <v>Tubo de concreto armado com diametro de 0,40m.</v>
          </cell>
          <cell r="E174" t="str">
            <v>m</v>
          </cell>
          <cell r="F174">
            <v>43.02</v>
          </cell>
          <cell r="G174">
            <v>768</v>
          </cell>
        </row>
        <row r="175">
          <cell r="B175" t="str">
            <v>DR05200100</v>
          </cell>
          <cell r="C175">
            <v>170</v>
          </cell>
          <cell r="D175" t="str">
            <v>Tubo de concreto armado com diâmetro de 0,50m.</v>
          </cell>
          <cell r="E175" t="str">
            <v>m</v>
          </cell>
          <cell r="F175">
            <v>62.61</v>
          </cell>
          <cell r="G175">
            <v>290</v>
          </cell>
        </row>
        <row r="176">
          <cell r="B176" t="str">
            <v>DR05200150</v>
          </cell>
          <cell r="C176">
            <v>171</v>
          </cell>
          <cell r="D176" t="str">
            <v>Tubo de concreto armado com diâmetro de 0,60m.</v>
          </cell>
          <cell r="E176" t="str">
            <v>m</v>
          </cell>
          <cell r="F176">
            <v>71.53</v>
          </cell>
          <cell r="G176">
            <v>54</v>
          </cell>
        </row>
        <row r="177">
          <cell r="B177" t="str">
            <v>DR05200200</v>
          </cell>
          <cell r="C177">
            <v>172</v>
          </cell>
          <cell r="D177" t="str">
            <v>Tubo de concreto armado com diâmetro de 0,70m.</v>
          </cell>
          <cell r="E177" t="str">
            <v>m</v>
          </cell>
          <cell r="F177">
            <v>106.59</v>
          </cell>
          <cell r="G177">
            <v>264</v>
          </cell>
        </row>
        <row r="178">
          <cell r="B178" t="str">
            <v>DR05200250</v>
          </cell>
          <cell r="C178">
            <v>173</v>
          </cell>
          <cell r="D178" t="str">
            <v>Tubo de concreto armado com diâmetro de 0,80m.</v>
          </cell>
          <cell r="E178" t="str">
            <v>m</v>
          </cell>
          <cell r="F178">
            <v>113.63</v>
          </cell>
          <cell r="G178">
            <v>38</v>
          </cell>
        </row>
        <row r="179">
          <cell r="B179" t="str">
            <v>DR05200350</v>
          </cell>
          <cell r="C179">
            <v>174</v>
          </cell>
          <cell r="D179" t="str">
            <v>Tubo de concreto armado com diametro de 1m.</v>
          </cell>
          <cell r="E179" t="str">
            <v>m</v>
          </cell>
          <cell r="F179">
            <v>189.28</v>
          </cell>
          <cell r="G179">
            <v>320</v>
          </cell>
        </row>
        <row r="180">
          <cell r="B180" t="str">
            <v>DR05200500</v>
          </cell>
          <cell r="C180">
            <v>175</v>
          </cell>
          <cell r="D180" t="str">
            <v>Tubo de concreto armado com diâmetro de 1,50m.</v>
          </cell>
          <cell r="E180" t="str">
            <v>m</v>
          </cell>
          <cell r="F180">
            <v>400.58</v>
          </cell>
          <cell r="G180">
            <v>214</v>
          </cell>
        </row>
        <row r="181">
          <cell r="B181" t="str">
            <v>DR05400100</v>
          </cell>
          <cell r="C181">
            <v>176</v>
          </cell>
          <cell r="D181" t="str">
            <v>Tubo de PVC rígido Vinilfort, diâmetro de 150mm.</v>
          </cell>
          <cell r="E181" t="str">
            <v>m</v>
          </cell>
          <cell r="F181">
            <v>19.47</v>
          </cell>
          <cell r="G181">
            <v>1643</v>
          </cell>
        </row>
        <row r="182">
          <cell r="B182" t="str">
            <v>DR05400150</v>
          </cell>
          <cell r="C182">
            <v>177</v>
          </cell>
          <cell r="D182" t="str">
            <v>Tubo de PVC rígido Vinilfort, diâmetro de 200mm.</v>
          </cell>
          <cell r="E182" t="str">
            <v>m</v>
          </cell>
          <cell r="F182">
            <v>27.22</v>
          </cell>
          <cell r="G182">
            <v>263</v>
          </cell>
        </row>
        <row r="183">
          <cell r="B183" t="str">
            <v>DR10050065</v>
          </cell>
          <cell r="C183">
            <v>178</v>
          </cell>
          <cell r="D183" t="str">
            <v>Tubo de ferro fundido K-9, diâmetro de 300mm.</v>
          </cell>
          <cell r="E183" t="str">
            <v>m</v>
          </cell>
          <cell r="F183">
            <v>370.29</v>
          </cell>
          <cell r="G183">
            <v>200</v>
          </cell>
        </row>
        <row r="184">
          <cell r="B184" t="str">
            <v>DR20100050</v>
          </cell>
          <cell r="C184">
            <v>179</v>
          </cell>
          <cell r="D184" t="str">
            <v>Poço de visita de (1,20x1,20x1,40)m ø 0,40 a 0,70m.</v>
          </cell>
          <cell r="E184" t="str">
            <v xml:space="preserve"> un</v>
          </cell>
          <cell r="F184">
            <v>704.13</v>
          </cell>
          <cell r="G184">
            <v>22</v>
          </cell>
        </row>
        <row r="185">
          <cell r="B185" t="str">
            <v>DR20100053</v>
          </cell>
          <cell r="C185">
            <v>180</v>
          </cell>
          <cell r="D185" t="str">
            <v>Poço de visita de (1,30 x1,30 x1,40)m ø de 0,80 m.</v>
          </cell>
          <cell r="E185" t="str">
            <v xml:space="preserve"> un</v>
          </cell>
          <cell r="F185">
            <v>750.69</v>
          </cell>
          <cell r="G185">
            <v>2</v>
          </cell>
        </row>
        <row r="186">
          <cell r="B186" t="str">
            <v>DR20100059</v>
          </cell>
          <cell r="C186">
            <v>181</v>
          </cell>
          <cell r="D186" t="str">
            <v>Poço de visita de (1.50x1.50x1.60)m ø1,00 m.</v>
          </cell>
          <cell r="E186" t="str">
            <v xml:space="preserve"> un</v>
          </cell>
          <cell r="F186">
            <v>948.69</v>
          </cell>
          <cell r="G186">
            <v>11</v>
          </cell>
        </row>
        <row r="187">
          <cell r="B187" t="str">
            <v>DR20100068</v>
          </cell>
          <cell r="C187">
            <v>182</v>
          </cell>
          <cell r="D187" t="str">
            <v>Poço de vista de ( 2x 2x2,10)m ø1,50m.</v>
          </cell>
          <cell r="E187" t="str">
            <v xml:space="preserve"> un</v>
          </cell>
          <cell r="F187">
            <v>1525.88</v>
          </cell>
          <cell r="G187">
            <v>7</v>
          </cell>
        </row>
        <row r="188">
          <cell r="B188" t="str">
            <v>DR20150053</v>
          </cell>
          <cell r="C188">
            <v>183</v>
          </cell>
          <cell r="D188" t="str">
            <v>Poço de visita para esgoto sanitário de 1m .</v>
          </cell>
          <cell r="E188" t="str">
            <v xml:space="preserve"> un</v>
          </cell>
          <cell r="F188">
            <v>129.63</v>
          </cell>
          <cell r="G188">
            <v>2</v>
          </cell>
        </row>
        <row r="189">
          <cell r="B189" t="str">
            <v>DR20150056</v>
          </cell>
          <cell r="C189">
            <v>184</v>
          </cell>
          <cell r="D189" t="str">
            <v xml:space="preserve">Poço de visita para esgoto sanitário de 1,05m.                      </v>
          </cell>
          <cell r="E189" t="str">
            <v xml:space="preserve"> un</v>
          </cell>
          <cell r="F189">
            <v>303.89</v>
          </cell>
          <cell r="G189">
            <v>1</v>
          </cell>
        </row>
        <row r="190">
          <cell r="B190" t="str">
            <v>DR20150059</v>
          </cell>
          <cell r="C190">
            <v>185</v>
          </cell>
          <cell r="D190" t="str">
            <v xml:space="preserve">Poço de visita para esgoto sanitário de 1,20m.  </v>
          </cell>
          <cell r="E190" t="str">
            <v xml:space="preserve"> un</v>
          </cell>
          <cell r="F190">
            <v>337.88</v>
          </cell>
          <cell r="G190">
            <v>15</v>
          </cell>
        </row>
        <row r="191">
          <cell r="B191" t="str">
            <v>DR20150062</v>
          </cell>
          <cell r="C191">
            <v>186</v>
          </cell>
          <cell r="D191" t="str">
            <v xml:space="preserve">Poço de visita de esgoto sanitário de 1,40m.      </v>
          </cell>
          <cell r="E191" t="str">
            <v xml:space="preserve"> un</v>
          </cell>
          <cell r="F191">
            <v>387.67</v>
          </cell>
          <cell r="G191">
            <v>5</v>
          </cell>
        </row>
        <row r="192">
          <cell r="B192" t="str">
            <v>DR20150065</v>
          </cell>
          <cell r="C192">
            <v>187</v>
          </cell>
          <cell r="D192" t="str">
            <v xml:space="preserve">Poço de visita de esgoto sanitário de 1,50m.  </v>
          </cell>
          <cell r="E192" t="str">
            <v xml:space="preserve"> un</v>
          </cell>
          <cell r="F192">
            <v>412.76</v>
          </cell>
          <cell r="G192">
            <v>7</v>
          </cell>
        </row>
        <row r="193">
          <cell r="B193" t="str">
            <v>DR20150068</v>
          </cell>
          <cell r="C193">
            <v>188</v>
          </cell>
          <cell r="D193" t="str">
            <v xml:space="preserve">Poço de visita de esgoto sanitário de 1,60m.          </v>
          </cell>
          <cell r="E193" t="str">
            <v xml:space="preserve"> un</v>
          </cell>
          <cell r="F193">
            <v>416.03</v>
          </cell>
          <cell r="G193">
            <v>4</v>
          </cell>
        </row>
        <row r="194">
          <cell r="B194" t="str">
            <v>DR20150071</v>
          </cell>
          <cell r="C194">
            <v>189</v>
          </cell>
          <cell r="D194" t="str">
            <v xml:space="preserve">Poço de visita de esgoto sanitário de 1,70m.   </v>
          </cell>
          <cell r="E194" t="str">
            <v xml:space="preserve"> un</v>
          </cell>
          <cell r="F194">
            <v>450.56</v>
          </cell>
          <cell r="G194">
            <v>2</v>
          </cell>
        </row>
        <row r="195">
          <cell r="B195" t="str">
            <v>DR20150074</v>
          </cell>
          <cell r="C195">
            <v>190</v>
          </cell>
          <cell r="D195" t="str">
            <v xml:space="preserve">Poço de visita de esgoto sanitário de 2m.       </v>
          </cell>
          <cell r="E195" t="str">
            <v xml:space="preserve"> un</v>
          </cell>
          <cell r="F195">
            <v>479.14</v>
          </cell>
          <cell r="G195">
            <v>12</v>
          </cell>
        </row>
        <row r="196">
          <cell r="B196" t="str">
            <v>DR20150077</v>
          </cell>
          <cell r="C196">
            <v>191</v>
          </cell>
          <cell r="D196" t="str">
            <v xml:space="preserve">Poço de visita de esgoto sanitário de 2,30m.        </v>
          </cell>
          <cell r="E196" t="str">
            <v xml:space="preserve"> un</v>
          </cell>
          <cell r="F196">
            <v>518.35</v>
          </cell>
          <cell r="G196">
            <v>2</v>
          </cell>
        </row>
        <row r="197">
          <cell r="B197" t="str">
            <v>DR30150103</v>
          </cell>
          <cell r="C197">
            <v>192</v>
          </cell>
          <cell r="D197" t="str">
            <v>Caixa de ralo de blocos de concreto prensado.</v>
          </cell>
          <cell r="E197" t="str">
            <v xml:space="preserve"> un</v>
          </cell>
          <cell r="F197">
            <v>541.29999999999995</v>
          </cell>
          <cell r="G197">
            <v>135</v>
          </cell>
        </row>
        <row r="198">
          <cell r="B198" t="str">
            <v>DR05300100</v>
          </cell>
          <cell r="C198">
            <v>193</v>
          </cell>
          <cell r="D198" t="str">
            <v>Manilha cerâmica vidrada, com diâmetro 0,15m.</v>
          </cell>
          <cell r="E198" t="str">
            <v>m</v>
          </cell>
          <cell r="F198">
            <v>16.14</v>
          </cell>
          <cell r="G198">
            <v>1240</v>
          </cell>
        </row>
        <row r="199">
          <cell r="B199" t="str">
            <v>DR35050250</v>
          </cell>
          <cell r="C199">
            <v>194</v>
          </cell>
          <cell r="D199" t="str">
            <v>Tampão de ferro fundido completo pesado, de 0,60m.</v>
          </cell>
          <cell r="E199" t="str">
            <v xml:space="preserve"> un</v>
          </cell>
          <cell r="F199">
            <v>209.66</v>
          </cell>
          <cell r="G199">
            <v>140</v>
          </cell>
        </row>
        <row r="200">
          <cell r="B200" t="str">
            <v>DR35050300</v>
          </cell>
          <cell r="C200">
            <v>195</v>
          </cell>
          <cell r="D200" t="str">
            <v>Tampão de ferro fundido completo, de 3 seções.</v>
          </cell>
          <cell r="E200" t="str">
            <v xml:space="preserve"> un</v>
          </cell>
          <cell r="F200">
            <v>1659.65</v>
          </cell>
          <cell r="G200">
            <v>9</v>
          </cell>
        </row>
        <row r="201">
          <cell r="B201" t="str">
            <v>DR55050450</v>
          </cell>
          <cell r="C201">
            <v>196</v>
          </cell>
          <cell r="D201" t="str">
            <v>Embasamento de tubulação, feito com pó-de-pedra.</v>
          </cell>
          <cell r="E201" t="str">
            <v>m3</v>
          </cell>
          <cell r="F201">
            <v>47.35</v>
          </cell>
          <cell r="G201">
            <v>200</v>
          </cell>
        </row>
        <row r="202">
          <cell r="B202" t="str">
            <v>DR75050077</v>
          </cell>
          <cell r="C202">
            <v>197</v>
          </cell>
          <cell r="D202" t="str">
            <v>Levantamento limpeza reassentamento tubos ø1,50m.</v>
          </cell>
          <cell r="E202" t="str">
            <v>m</v>
          </cell>
          <cell r="F202">
            <v>137.80000000000001</v>
          </cell>
          <cell r="G202">
            <v>576</v>
          </cell>
        </row>
        <row r="203">
          <cell r="B203" t="str">
            <v>BP05050050</v>
          </cell>
          <cell r="C203">
            <v>198</v>
          </cell>
          <cell r="D203" t="str">
            <v>Base de brita corrida.</v>
          </cell>
          <cell r="E203" t="str">
            <v>m3</v>
          </cell>
          <cell r="F203">
            <v>35.47</v>
          </cell>
          <cell r="G203">
            <v>7200</v>
          </cell>
        </row>
        <row r="204">
          <cell r="B204" t="str">
            <v>BP05050400A</v>
          </cell>
          <cell r="C204">
            <v>199</v>
          </cell>
          <cell r="D204" t="str">
            <v>Imprimação de base de pavimentação.</v>
          </cell>
          <cell r="E204" t="str">
            <v>m2</v>
          </cell>
          <cell r="F204">
            <v>2.04</v>
          </cell>
          <cell r="G204">
            <v>23998</v>
          </cell>
        </row>
        <row r="205">
          <cell r="B205" t="str">
            <v>BP05050100</v>
          </cell>
          <cell r="C205">
            <v>200</v>
          </cell>
          <cell r="D205" t="str">
            <v>Camada de bloqueio (colchão) de areia.</v>
          </cell>
          <cell r="E205" t="str">
            <v>m3</v>
          </cell>
          <cell r="F205">
            <v>29.11</v>
          </cell>
          <cell r="G205">
            <v>7200</v>
          </cell>
        </row>
        <row r="206">
          <cell r="B206" t="str">
            <v>BP05050103</v>
          </cell>
          <cell r="C206">
            <v>201</v>
          </cell>
          <cell r="D206" t="str">
            <v>Camada de bloqueio (colchão) de pó-de-pedra.</v>
          </cell>
          <cell r="E206" t="str">
            <v>m3</v>
          </cell>
          <cell r="F206">
            <v>31.41</v>
          </cell>
          <cell r="G206">
            <v>6000</v>
          </cell>
        </row>
        <row r="207">
          <cell r="B207" t="str">
            <v>BP10050659</v>
          </cell>
          <cell r="C207">
            <v>202</v>
          </cell>
          <cell r="D207" t="str">
            <v>Revestimento de CBUQ, com  10cm de espessura.</v>
          </cell>
          <cell r="E207" t="str">
            <v>m2</v>
          </cell>
          <cell r="F207">
            <v>24.98</v>
          </cell>
          <cell r="G207">
            <v>23998</v>
          </cell>
        </row>
        <row r="208">
          <cell r="B208" t="str">
            <v>BP10200368</v>
          </cell>
          <cell r="C208">
            <v>203</v>
          </cell>
          <cell r="D208" t="str">
            <v>Revestimento intertravado com peças de concreto.</v>
          </cell>
          <cell r="E208" t="str">
            <v>m2</v>
          </cell>
          <cell r="F208">
            <v>54.88</v>
          </cell>
          <cell r="G208">
            <v>18820</v>
          </cell>
        </row>
        <row r="209">
          <cell r="B209" t="str">
            <v>BP10250050</v>
          </cell>
          <cell r="C209">
            <v>204</v>
          </cell>
          <cell r="D209" t="str">
            <v>Paralelepípedos.Fornecimento.</v>
          </cell>
          <cell r="E209" t="str">
            <v xml:space="preserve"> un</v>
          </cell>
          <cell r="F209">
            <v>0.45</v>
          </cell>
          <cell r="G209">
            <v>2877</v>
          </cell>
        </row>
        <row r="210">
          <cell r="B210" t="str">
            <v>BP05050450</v>
          </cell>
          <cell r="C210">
            <v>205</v>
          </cell>
          <cell r="D210" t="str">
            <v>Regularização de subleito.</v>
          </cell>
          <cell r="E210" t="str">
            <v>m2</v>
          </cell>
          <cell r="F210">
            <v>0.41</v>
          </cell>
          <cell r="G210">
            <v>23998</v>
          </cell>
        </row>
        <row r="211">
          <cell r="B211" t="str">
            <v>BP20100053</v>
          </cell>
          <cell r="C211">
            <v>206</v>
          </cell>
          <cell r="D211" t="str">
            <v>Cordões de concreto simples, secção de (10x25)cm.</v>
          </cell>
          <cell r="E211" t="str">
            <v>m</v>
          </cell>
          <cell r="F211">
            <v>15.98</v>
          </cell>
          <cell r="G211">
            <v>864</v>
          </cell>
        </row>
        <row r="212">
          <cell r="B212" t="str">
            <v>BP05050250</v>
          </cell>
          <cell r="C212">
            <v>207</v>
          </cell>
          <cell r="D212" t="str">
            <v>Construção de aterro.</v>
          </cell>
          <cell r="E212" t="str">
            <v>m3</v>
          </cell>
          <cell r="F212">
            <v>1.1299999999999999</v>
          </cell>
          <cell r="G212">
            <v>5000</v>
          </cell>
        </row>
        <row r="213">
          <cell r="B213" t="str">
            <v>BP10050400A</v>
          </cell>
          <cell r="C213">
            <v>208</v>
          </cell>
          <cell r="D213" t="str">
            <v>Pintura de ligação.</v>
          </cell>
          <cell r="E213" t="str">
            <v>m2</v>
          </cell>
          <cell r="F213">
            <v>1.23</v>
          </cell>
          <cell r="G213">
            <v>23998</v>
          </cell>
        </row>
        <row r="214">
          <cell r="B214" t="str">
            <v>BP10050500</v>
          </cell>
          <cell r="C214">
            <v>209</v>
          </cell>
          <cell r="D214" t="str">
            <v>Recomposição de revestimento em concreto asfáltico.</v>
          </cell>
          <cell r="E214" t="str">
            <v>m2</v>
          </cell>
          <cell r="F214">
            <v>2.13</v>
          </cell>
          <cell r="G214">
            <v>2000</v>
          </cell>
        </row>
        <row r="215">
          <cell r="B215" t="str">
            <v>BP10150050</v>
          </cell>
          <cell r="C215">
            <v>210</v>
          </cell>
          <cell r="D215" t="str">
            <v>Junta de retração, serrada com disco de diamantes.</v>
          </cell>
          <cell r="E215" t="str">
            <v>m</v>
          </cell>
          <cell r="F215">
            <v>7.5</v>
          </cell>
          <cell r="G215">
            <v>415</v>
          </cell>
        </row>
        <row r="216">
          <cell r="B216" t="str">
            <v>BP10250050</v>
          </cell>
          <cell r="C216">
            <v>211</v>
          </cell>
          <cell r="D216" t="str">
            <v xml:space="preserve">Paralelepípedos.Fornecimento. </v>
          </cell>
          <cell r="E216" t="str">
            <v xml:space="preserve"> un</v>
          </cell>
          <cell r="F216">
            <v>0.45</v>
          </cell>
          <cell r="G216">
            <v>2877</v>
          </cell>
        </row>
        <row r="217">
          <cell r="B217" t="str">
            <v>BP15050050</v>
          </cell>
          <cell r="C217">
            <v>212</v>
          </cell>
          <cell r="D217" t="str">
            <v>Fresagem espessura de até 5cm.</v>
          </cell>
          <cell r="E217" t="str">
            <v>m2</v>
          </cell>
          <cell r="F217">
            <v>1.34</v>
          </cell>
          <cell r="G217">
            <v>16799</v>
          </cell>
        </row>
        <row r="218">
          <cell r="B218" t="str">
            <v>BP20150056</v>
          </cell>
          <cell r="C218">
            <v>213</v>
          </cell>
          <cell r="D218" t="str">
            <v>Sarjeta e meio-fio conjugados, de concreto simples.</v>
          </cell>
          <cell r="E218" t="str">
            <v>m</v>
          </cell>
          <cell r="F218">
            <v>44.43</v>
          </cell>
          <cell r="G218">
            <v>4315</v>
          </cell>
        </row>
        <row r="219">
          <cell r="B219" t="str">
            <v>PJ05100150</v>
          </cell>
          <cell r="C219">
            <v>214</v>
          </cell>
          <cell r="D219" t="str">
            <v>Plantio de grama em placas.</v>
          </cell>
          <cell r="E219" t="str">
            <v>m2</v>
          </cell>
          <cell r="F219">
            <v>6.48</v>
          </cell>
          <cell r="G219">
            <v>2213</v>
          </cell>
        </row>
        <row r="220">
          <cell r="B220" t="str">
            <v>PJ10050200</v>
          </cell>
          <cell r="C220">
            <v>215</v>
          </cell>
          <cell r="D220" t="str">
            <v>Plantio de árvore de 2m de altura.</v>
          </cell>
          <cell r="E220" t="str">
            <v xml:space="preserve"> un</v>
          </cell>
          <cell r="F220">
            <v>14.95</v>
          </cell>
          <cell r="G220">
            <v>283</v>
          </cell>
        </row>
        <row r="221">
          <cell r="B221" t="str">
            <v>PJ10150050</v>
          </cell>
          <cell r="C221">
            <v>216</v>
          </cell>
          <cell r="D221" t="str">
            <v>Árvores tipo 1 - Pseudobombax Ellipticum.</v>
          </cell>
          <cell r="E221" t="str">
            <v xml:space="preserve"> un</v>
          </cell>
          <cell r="F221">
            <v>12.9</v>
          </cell>
          <cell r="G221">
            <v>283</v>
          </cell>
        </row>
        <row r="222">
          <cell r="B222" t="str">
            <v>PJ10250056</v>
          </cell>
          <cell r="C222">
            <v>217</v>
          </cell>
          <cell r="D222" t="str">
            <v>Palmeira tipo 3 - Roystonea Oleracea.</v>
          </cell>
          <cell r="E222" t="str">
            <v xml:space="preserve"> un</v>
          </cell>
          <cell r="F222">
            <v>250</v>
          </cell>
          <cell r="G222">
            <v>20</v>
          </cell>
        </row>
        <row r="223">
          <cell r="B223" t="str">
            <v>PJ20100050</v>
          </cell>
          <cell r="C223">
            <v>218</v>
          </cell>
          <cell r="D223" t="str">
            <v>Arrancamento e replantio de árvore adulta.</v>
          </cell>
          <cell r="E223" t="str">
            <v xml:space="preserve"> un</v>
          </cell>
          <cell r="F223">
            <v>46.5</v>
          </cell>
          <cell r="G223">
            <v>32</v>
          </cell>
        </row>
        <row r="224">
          <cell r="B224" t="str">
            <v>PJ20100306</v>
          </cell>
          <cell r="C224">
            <v>219</v>
          </cell>
          <cell r="D224" t="str">
            <v>Remoção de árvore de grande porte.</v>
          </cell>
          <cell r="E224" t="str">
            <v xml:space="preserve"> un</v>
          </cell>
          <cell r="F224">
            <v>886.31</v>
          </cell>
          <cell r="G224">
            <v>10</v>
          </cell>
        </row>
        <row r="225">
          <cell r="B225" t="str">
            <v>PJ40100356</v>
          </cell>
          <cell r="C225">
            <v>220</v>
          </cell>
          <cell r="D225" t="str">
            <v>Tratamento fitossanitário em árvores.</v>
          </cell>
          <cell r="E225" t="str">
            <v xml:space="preserve"> un</v>
          </cell>
          <cell r="F225">
            <v>663.93</v>
          </cell>
          <cell r="G225">
            <v>100</v>
          </cell>
        </row>
        <row r="226">
          <cell r="B226" t="str">
            <v>PJ15050053</v>
          </cell>
          <cell r="C226">
            <v>221</v>
          </cell>
          <cell r="D226" t="str">
            <v>Cerca protetora para jardim.</v>
          </cell>
          <cell r="E226" t="str">
            <v>m2</v>
          </cell>
          <cell r="F226">
            <v>57.16</v>
          </cell>
          <cell r="G226">
            <v>200</v>
          </cell>
        </row>
        <row r="227">
          <cell r="B227" t="str">
            <v>PJ25050100</v>
          </cell>
          <cell r="C227">
            <v>222</v>
          </cell>
          <cell r="D227" t="str">
            <v>Banco para jardim, duplo, pés em ferro fundido.</v>
          </cell>
          <cell r="E227" t="str">
            <v xml:space="preserve"> un</v>
          </cell>
          <cell r="F227">
            <v>904.96</v>
          </cell>
          <cell r="G227">
            <v>36</v>
          </cell>
        </row>
        <row r="228">
          <cell r="B228" t="str">
            <v>PJ25050153</v>
          </cell>
          <cell r="C228">
            <v>223</v>
          </cell>
          <cell r="D228" t="str">
            <v>Mesa de jogos com 4 bancos.</v>
          </cell>
          <cell r="E228" t="str">
            <v xml:space="preserve"> un</v>
          </cell>
          <cell r="F228">
            <v>547.5</v>
          </cell>
          <cell r="G228">
            <v>14</v>
          </cell>
        </row>
        <row r="229">
          <cell r="B229" t="str">
            <v>PJ25100253</v>
          </cell>
          <cell r="C229">
            <v>224</v>
          </cell>
          <cell r="D229" t="str">
            <v>Brinquedo modelo A-08 Dupla Escalada.</v>
          </cell>
          <cell r="E229" t="str">
            <v xml:space="preserve"> un</v>
          </cell>
          <cell r="F229">
            <v>1730.38</v>
          </cell>
          <cell r="G229">
            <v>5</v>
          </cell>
        </row>
        <row r="230">
          <cell r="B230" t="str">
            <v>PJ25100350</v>
          </cell>
          <cell r="C230">
            <v>225</v>
          </cell>
          <cell r="D230" t="str">
            <v>Casa do Tarzan, referência M-45, conforme o modelo.</v>
          </cell>
          <cell r="E230" t="str">
            <v xml:space="preserve"> un</v>
          </cell>
          <cell r="F230">
            <v>2911.25</v>
          </cell>
          <cell r="G230">
            <v>1</v>
          </cell>
        </row>
        <row r="231">
          <cell r="B231" t="str">
            <v>PJ25100600</v>
          </cell>
          <cell r="C231">
            <v>226</v>
          </cell>
          <cell r="D231" t="str">
            <v>Etapa 8, conforme o modelo Pactaplayground.</v>
          </cell>
          <cell r="E231" t="str">
            <v xml:space="preserve"> un</v>
          </cell>
          <cell r="F231">
            <v>263.37</v>
          </cell>
          <cell r="G231">
            <v>1</v>
          </cell>
        </row>
        <row r="232">
          <cell r="B232" t="str">
            <v>PJ25101000</v>
          </cell>
          <cell r="C232">
            <v>227</v>
          </cell>
          <cell r="D232" t="str">
            <v>Prancha para abdominal, em madeira de Lei.</v>
          </cell>
          <cell r="E232" t="str">
            <v xml:space="preserve"> un</v>
          </cell>
          <cell r="F232">
            <v>288.86</v>
          </cell>
          <cell r="G232">
            <v>2</v>
          </cell>
        </row>
        <row r="233">
          <cell r="B233" t="str">
            <v>PJ15050153</v>
          </cell>
          <cell r="C233">
            <v>228</v>
          </cell>
          <cell r="D233" t="str">
            <v>Protetor de árvore em ferro de 3/8".</v>
          </cell>
          <cell r="E233" t="str">
            <v xml:space="preserve"> un</v>
          </cell>
          <cell r="F233">
            <v>40.17</v>
          </cell>
          <cell r="G233">
            <v>283</v>
          </cell>
        </row>
        <row r="234">
          <cell r="B234" t="str">
            <v>PJ20050200</v>
          </cell>
          <cell r="C234">
            <v>229</v>
          </cell>
          <cell r="D234" t="str">
            <v>Aterro com terra preta simples, para gramados.</v>
          </cell>
          <cell r="E234" t="str">
            <v>m3</v>
          </cell>
          <cell r="F234">
            <v>57.72</v>
          </cell>
          <cell r="G234">
            <v>303</v>
          </cell>
        </row>
        <row r="235">
          <cell r="B235" t="str">
            <v>PJ20050453</v>
          </cell>
          <cell r="C235">
            <v>230</v>
          </cell>
          <cell r="D235" t="str">
            <v>Irrigação de árvore e/ou palmeira com Caminhão Pipa.</v>
          </cell>
          <cell r="E235" t="str">
            <v xml:space="preserve"> un</v>
          </cell>
          <cell r="F235">
            <v>0.25</v>
          </cell>
          <cell r="G235">
            <v>303</v>
          </cell>
        </row>
        <row r="236">
          <cell r="B236" t="str">
            <v>PJ20050870</v>
          </cell>
          <cell r="C236">
            <v>231</v>
          </cell>
          <cell r="D236" t="str">
            <v xml:space="preserve">Revolvimento de solo até 20cm de profundidade.   </v>
          </cell>
          <cell r="E236" t="str">
            <v>m2</v>
          </cell>
          <cell r="F236">
            <v>0.67</v>
          </cell>
          <cell r="G236">
            <v>1000</v>
          </cell>
        </row>
        <row r="237">
          <cell r="B237" t="str">
            <v>PJ25250106</v>
          </cell>
          <cell r="C237">
            <v>232</v>
          </cell>
          <cell r="D237" t="str">
            <v>Frade metálico, em ferro fundido, modelo ciclovia.</v>
          </cell>
          <cell r="E237" t="str">
            <v xml:space="preserve"> un</v>
          </cell>
          <cell r="F237">
            <v>94.45</v>
          </cell>
          <cell r="G237">
            <v>505</v>
          </cell>
        </row>
        <row r="238">
          <cell r="B238" t="str">
            <v>PJ40050159</v>
          </cell>
          <cell r="C238">
            <v>233</v>
          </cell>
          <cell r="D238" t="str">
            <v>Remoção de espécies vegetais.</v>
          </cell>
          <cell r="E238" t="str">
            <v xml:space="preserve"> un</v>
          </cell>
          <cell r="F238">
            <v>207.92</v>
          </cell>
          <cell r="G238">
            <v>35</v>
          </cell>
        </row>
        <row r="239">
          <cell r="B239" t="str">
            <v>IP05100300</v>
          </cell>
          <cell r="C239">
            <v>234</v>
          </cell>
          <cell r="D239" t="str">
            <v>Poste de aço, reto, cônico contínuo de 4,5m.</v>
          </cell>
          <cell r="E239" t="str">
            <v xml:space="preserve"> un</v>
          </cell>
          <cell r="F239">
            <v>199.5</v>
          </cell>
          <cell r="G239">
            <v>70</v>
          </cell>
        </row>
        <row r="240">
          <cell r="B240" t="str">
            <v>IP05100553</v>
          </cell>
          <cell r="C240">
            <v>235</v>
          </cell>
          <cell r="D240" t="str">
            <v>Poste de aço, reto, de 7m.</v>
          </cell>
          <cell r="E240" t="str">
            <v xml:space="preserve"> un</v>
          </cell>
          <cell r="F240">
            <v>4336.38</v>
          </cell>
          <cell r="G240">
            <v>10</v>
          </cell>
        </row>
        <row r="241">
          <cell r="B241" t="str">
            <v>IP05100556</v>
          </cell>
          <cell r="C241">
            <v>236</v>
          </cell>
          <cell r="D241" t="str">
            <v>Poste de aço, reto, de 7m.</v>
          </cell>
          <cell r="E241" t="str">
            <v xml:space="preserve"> un</v>
          </cell>
          <cell r="F241">
            <v>4127</v>
          </cell>
          <cell r="G241">
            <v>20</v>
          </cell>
        </row>
        <row r="242">
          <cell r="B242" t="str">
            <v>IP05100562</v>
          </cell>
          <cell r="C242">
            <v>237</v>
          </cell>
          <cell r="D242" t="str">
            <v>Poste de aço, reto, de 7m.</v>
          </cell>
          <cell r="E242" t="str">
            <v xml:space="preserve"> un</v>
          </cell>
          <cell r="F242">
            <v>3360</v>
          </cell>
          <cell r="G242">
            <v>40</v>
          </cell>
        </row>
        <row r="243">
          <cell r="B243" t="str">
            <v>IP10300506</v>
          </cell>
          <cell r="C243">
            <v>238</v>
          </cell>
          <cell r="D243" t="str">
            <v>Conector tipo cunha, em liga de cobre estanhado.</v>
          </cell>
          <cell r="E243" t="str">
            <v xml:space="preserve"> un</v>
          </cell>
          <cell r="F243">
            <v>6.55</v>
          </cell>
          <cell r="G243">
            <v>32</v>
          </cell>
        </row>
        <row r="244">
          <cell r="B244" t="str">
            <v>IP15250100</v>
          </cell>
          <cell r="C244">
            <v>239</v>
          </cell>
          <cell r="D244" t="str">
            <v xml:space="preserve">Cabo de cobre nu, seção de 16mm2.  Fornecimento.  </v>
          </cell>
          <cell r="E244" t="str">
            <v>kg</v>
          </cell>
          <cell r="F244">
            <v>11.42</v>
          </cell>
          <cell r="G244">
            <v>140</v>
          </cell>
        </row>
        <row r="245">
          <cell r="B245" t="str">
            <v>IP15250109</v>
          </cell>
          <cell r="C245">
            <v>240</v>
          </cell>
          <cell r="D245" t="str">
            <v xml:space="preserve">Cabo de cobre nu, seção de 25mm2.  Fornecimento. </v>
          </cell>
          <cell r="E245" t="str">
            <v>kg</v>
          </cell>
          <cell r="F245">
            <v>11.42</v>
          </cell>
          <cell r="G245">
            <v>141.69999999999999</v>
          </cell>
        </row>
        <row r="246">
          <cell r="B246" t="str">
            <v>IP15300053</v>
          </cell>
          <cell r="C246">
            <v>241</v>
          </cell>
          <cell r="D246" t="str">
            <v>Cabo de cobre flexível, 750V, seção de 2x1,5mm2.</v>
          </cell>
          <cell r="E246" t="str">
            <v>m</v>
          </cell>
          <cell r="F246">
            <v>0.88</v>
          </cell>
          <cell r="G246">
            <v>2158</v>
          </cell>
        </row>
        <row r="247">
          <cell r="B247" t="str">
            <v>IP15300062</v>
          </cell>
          <cell r="C247">
            <v>242</v>
          </cell>
          <cell r="D247" t="str">
            <v>Cabo de cobre flexível, 750V, seção de 3x1,5mm2.</v>
          </cell>
          <cell r="E247" t="str">
            <v xml:space="preserve"> un</v>
          </cell>
          <cell r="F247">
            <v>4.62</v>
          </cell>
          <cell r="G247">
            <v>2158</v>
          </cell>
        </row>
        <row r="248">
          <cell r="B248" t="str">
            <v>IP15350350</v>
          </cell>
          <cell r="C248">
            <v>243</v>
          </cell>
          <cell r="D248" t="str">
            <v>Cabo de cobre rígido, seção de 10mm2, 1Kv,  XLPE.</v>
          </cell>
          <cell r="E248" t="str">
            <v>m</v>
          </cell>
          <cell r="F248">
            <v>2.2599999999999998</v>
          </cell>
          <cell r="G248">
            <v>5100</v>
          </cell>
        </row>
        <row r="249">
          <cell r="B249" t="str">
            <v>IP15350456</v>
          </cell>
          <cell r="C249">
            <v>244</v>
          </cell>
          <cell r="D249" t="str">
            <v>Cabo de cobre rígido, seção de 25mm2, 1Kv, XLPE.</v>
          </cell>
          <cell r="E249" t="str">
            <v>m</v>
          </cell>
          <cell r="F249">
            <v>4.4400000000000004</v>
          </cell>
          <cell r="G249">
            <v>144</v>
          </cell>
        </row>
        <row r="250">
          <cell r="B250" t="str">
            <v>IP15350556</v>
          </cell>
          <cell r="C250">
            <v>245</v>
          </cell>
          <cell r="D250" t="str">
            <v>Cabo de cobre rígido, seção de 50mm2, 1Kv, XLPE.</v>
          </cell>
          <cell r="E250" t="str">
            <v>m</v>
          </cell>
          <cell r="F250">
            <v>23.38</v>
          </cell>
          <cell r="G250">
            <v>1870</v>
          </cell>
        </row>
        <row r="251">
          <cell r="B251" t="str">
            <v>IP15450106</v>
          </cell>
          <cell r="C251">
            <v>246</v>
          </cell>
          <cell r="D251" t="str">
            <v>Colocação de 3 condutores singelos em linha de dutos.</v>
          </cell>
          <cell r="E251" t="str">
            <v>m</v>
          </cell>
          <cell r="F251">
            <v>1.42</v>
          </cell>
          <cell r="G251">
            <v>940</v>
          </cell>
        </row>
        <row r="252">
          <cell r="B252" t="str">
            <v>IP15450109</v>
          </cell>
          <cell r="C252">
            <v>247</v>
          </cell>
          <cell r="D252" t="str">
            <v>Colocação de 4 condutores singelos em linha de dutos.</v>
          </cell>
          <cell r="E252" t="str">
            <v>m</v>
          </cell>
          <cell r="F252">
            <v>1.96</v>
          </cell>
          <cell r="G252">
            <v>6180</v>
          </cell>
        </row>
        <row r="253">
          <cell r="B253" t="str">
            <v>IP35150050</v>
          </cell>
          <cell r="C253">
            <v>248</v>
          </cell>
          <cell r="D253" t="str">
            <v>Comando em grupo CRJ-04 ou similar, 85A.</v>
          </cell>
          <cell r="E253" t="str">
            <v xml:space="preserve"> un</v>
          </cell>
          <cell r="F253">
            <v>1984.4</v>
          </cell>
          <cell r="G253">
            <v>2</v>
          </cell>
        </row>
        <row r="254">
          <cell r="B254" t="str">
            <v>IP35150400</v>
          </cell>
          <cell r="C254">
            <v>249</v>
          </cell>
          <cell r="D254" t="str">
            <v>Comando para IP, caixa trifásico, capacidade de 45A.</v>
          </cell>
          <cell r="E254" t="str">
            <v xml:space="preserve"> un</v>
          </cell>
          <cell r="F254">
            <v>1238</v>
          </cell>
          <cell r="G254">
            <v>6</v>
          </cell>
        </row>
        <row r="255">
          <cell r="B255" t="str">
            <v>IP40050100</v>
          </cell>
          <cell r="C255">
            <v>250</v>
          </cell>
          <cell r="D255" t="str">
            <v>Chave blindada, bipolar, 60A. Fornecimento.</v>
          </cell>
          <cell r="E255" t="str">
            <v xml:space="preserve"> un</v>
          </cell>
          <cell r="F255">
            <v>127</v>
          </cell>
          <cell r="G255">
            <v>10</v>
          </cell>
        </row>
        <row r="256">
          <cell r="B256" t="str">
            <v>IP50300850</v>
          </cell>
          <cell r="C256">
            <v>251</v>
          </cell>
          <cell r="D256" t="str">
            <v>Reator subterrâneo para lâmpada de VS de 400W.</v>
          </cell>
          <cell r="E256" t="str">
            <v xml:space="preserve"> un</v>
          </cell>
          <cell r="F256">
            <v>79.099999999999994</v>
          </cell>
          <cell r="G256">
            <v>198</v>
          </cell>
        </row>
        <row r="257">
          <cell r="B257" t="str">
            <v>IP10350400</v>
          </cell>
          <cell r="C257">
            <v>252</v>
          </cell>
          <cell r="D257" t="str">
            <v>Caixa de ligação tipo Condulets R-15/LB-22.</v>
          </cell>
          <cell r="E257" t="str">
            <v xml:space="preserve"> un</v>
          </cell>
          <cell r="F257">
            <v>7.62</v>
          </cell>
          <cell r="G257">
            <v>40</v>
          </cell>
        </row>
        <row r="258">
          <cell r="B258" t="str">
            <v>IP20050050</v>
          </cell>
          <cell r="C258">
            <v>253</v>
          </cell>
          <cell r="D258" t="str">
            <v xml:space="preserve">Aterramento de caixa Hand-Hole. </v>
          </cell>
          <cell r="E258" t="str">
            <v xml:space="preserve"> un</v>
          </cell>
          <cell r="F258">
            <v>10.34</v>
          </cell>
          <cell r="G258">
            <v>140</v>
          </cell>
        </row>
        <row r="259">
          <cell r="B259" t="str">
            <v>IP25100153</v>
          </cell>
          <cell r="C259">
            <v>254</v>
          </cell>
          <cell r="D259" t="str">
            <v>Caixa Hand-Hole, (0,60x0,60)m.</v>
          </cell>
          <cell r="E259" t="str">
            <v xml:space="preserve"> un</v>
          </cell>
          <cell r="F259">
            <v>80.78</v>
          </cell>
          <cell r="G259">
            <v>140</v>
          </cell>
        </row>
        <row r="260">
          <cell r="B260" t="str">
            <v>IP25100165</v>
          </cell>
          <cell r="C260">
            <v>255</v>
          </cell>
          <cell r="D260" t="str">
            <v>Caixa Hand-Hole, (0,60x0,90)m.</v>
          </cell>
          <cell r="E260" t="str">
            <v xml:space="preserve"> un</v>
          </cell>
          <cell r="F260">
            <v>111.4</v>
          </cell>
          <cell r="G260">
            <v>20</v>
          </cell>
        </row>
        <row r="261">
          <cell r="B261" t="str">
            <v>IP50100200</v>
          </cell>
          <cell r="C261">
            <v>256</v>
          </cell>
          <cell r="D261" t="str">
            <v>Luminária decorativa LDRJ-06 para lâmpada VS.</v>
          </cell>
          <cell r="E261" t="str">
            <v xml:space="preserve"> un</v>
          </cell>
          <cell r="F261">
            <v>362.07</v>
          </cell>
          <cell r="G261">
            <v>360</v>
          </cell>
        </row>
        <row r="262">
          <cell r="B262" t="str">
            <v>IP50100250</v>
          </cell>
          <cell r="C262">
            <v>257</v>
          </cell>
          <cell r="D262" t="str">
            <v>Luminária decorativa tipo LDRJ-16/2.</v>
          </cell>
          <cell r="E262" t="str">
            <v xml:space="preserve"> un</v>
          </cell>
          <cell r="F262">
            <v>249.69</v>
          </cell>
          <cell r="G262">
            <v>280</v>
          </cell>
        </row>
        <row r="263">
          <cell r="B263" t="str">
            <v>IP50200050</v>
          </cell>
          <cell r="C263">
            <v>258</v>
          </cell>
          <cell r="D263" t="str">
            <v>Base simples para luminária LDRJ-06.</v>
          </cell>
          <cell r="E263" t="str">
            <v xml:space="preserve"> un</v>
          </cell>
          <cell r="F263">
            <v>40</v>
          </cell>
          <cell r="G263">
            <v>280</v>
          </cell>
        </row>
        <row r="264">
          <cell r="B264" t="str">
            <v>IP50250406</v>
          </cell>
          <cell r="C264">
            <v>259</v>
          </cell>
          <cell r="D264" t="str">
            <v>Lâmpada de multivapor metálico (MVM) 70W/220V.</v>
          </cell>
          <cell r="E264" t="str">
            <v xml:space="preserve"> un</v>
          </cell>
          <cell r="F264">
            <v>73.77</v>
          </cell>
          <cell r="G264">
            <v>80</v>
          </cell>
        </row>
        <row r="265">
          <cell r="B265" t="str">
            <v>IP50250412</v>
          </cell>
          <cell r="C265">
            <v>260</v>
          </cell>
          <cell r="D265" t="str">
            <v>Lâmpada de multivapor metálico (MVM) 150W/220V.</v>
          </cell>
          <cell r="E265" t="str">
            <v xml:space="preserve"> un</v>
          </cell>
          <cell r="F265">
            <v>163.22999999999999</v>
          </cell>
          <cell r="G265">
            <v>20</v>
          </cell>
        </row>
        <row r="266">
          <cell r="B266" t="str">
            <v>IP05350100</v>
          </cell>
          <cell r="C266">
            <v>261</v>
          </cell>
          <cell r="D266" t="str">
            <v>Fundação simples de concreto pré-moldado,RIOLUZ.</v>
          </cell>
          <cell r="E266" t="str">
            <v xml:space="preserve"> un</v>
          </cell>
          <cell r="F266">
            <v>55.26</v>
          </cell>
          <cell r="G266">
            <v>70</v>
          </cell>
        </row>
        <row r="267">
          <cell r="B267" t="str">
            <v>IP05350150</v>
          </cell>
          <cell r="C267">
            <v>262</v>
          </cell>
          <cell r="D267" t="str">
            <v>Fundação simples de concreto pré-moldado,RIOLUZ.</v>
          </cell>
          <cell r="E267" t="str">
            <v xml:space="preserve"> un</v>
          </cell>
          <cell r="F267">
            <v>61.7</v>
          </cell>
          <cell r="G267">
            <v>70</v>
          </cell>
        </row>
        <row r="268">
          <cell r="B268" t="str">
            <v>IP05550150</v>
          </cell>
          <cell r="C268">
            <v>263</v>
          </cell>
          <cell r="D268" t="str">
            <v>Braço, padrão RIOLUZ, de 1,5m até 2,50m.</v>
          </cell>
          <cell r="E268" t="str">
            <v xml:space="preserve"> un</v>
          </cell>
          <cell r="F268">
            <v>47.7</v>
          </cell>
          <cell r="G268">
            <v>280</v>
          </cell>
        </row>
        <row r="269">
          <cell r="B269" t="str">
            <v>IP15200050</v>
          </cell>
          <cell r="C269">
            <v>264</v>
          </cell>
          <cell r="D269" t="str">
            <v>Mufla, 12/20Kv, referência terminal modular TM.</v>
          </cell>
          <cell r="E269" t="str">
            <v xml:space="preserve"> un</v>
          </cell>
          <cell r="F269">
            <v>173.71</v>
          </cell>
          <cell r="G269">
            <v>40</v>
          </cell>
        </row>
        <row r="270">
          <cell r="B270" t="str">
            <v>IP15500100</v>
          </cell>
          <cell r="C270">
            <v>265</v>
          </cell>
          <cell r="D270" t="str">
            <v>Anilha de nylon para identificação de condutor XLPE.</v>
          </cell>
          <cell r="E270" t="str">
            <v xml:space="preserve"> un</v>
          </cell>
          <cell r="F270">
            <v>0.02</v>
          </cell>
          <cell r="G270">
            <v>324</v>
          </cell>
        </row>
        <row r="271">
          <cell r="B271" t="str">
            <v>IP15500150</v>
          </cell>
          <cell r="C271">
            <v>266</v>
          </cell>
          <cell r="D271" t="str">
            <v>Anilha de nylon para identificação de condutor XLPE.</v>
          </cell>
          <cell r="E271" t="str">
            <v xml:space="preserve"> un</v>
          </cell>
          <cell r="F271">
            <v>0.03</v>
          </cell>
          <cell r="G271">
            <v>324</v>
          </cell>
        </row>
        <row r="272">
          <cell r="B272" t="str">
            <v>IP20050053</v>
          </cell>
          <cell r="C272">
            <v>267</v>
          </cell>
          <cell r="D272" t="str">
            <v>Aterramento de poste de aço.</v>
          </cell>
          <cell r="E272" t="str">
            <v xml:space="preserve"> un</v>
          </cell>
          <cell r="F272">
            <v>18.57</v>
          </cell>
          <cell r="G272">
            <v>140</v>
          </cell>
        </row>
        <row r="273">
          <cell r="B273" t="str">
            <v>IP20050056</v>
          </cell>
          <cell r="C273">
            <v>268</v>
          </cell>
          <cell r="D273" t="str">
            <v>Aterramento de tampão.</v>
          </cell>
          <cell r="E273" t="str">
            <v xml:space="preserve"> un</v>
          </cell>
          <cell r="F273">
            <v>28.47</v>
          </cell>
          <cell r="G273">
            <v>140</v>
          </cell>
        </row>
        <row r="274">
          <cell r="B274" t="str">
            <v>IP20050153</v>
          </cell>
          <cell r="C274">
            <v>269</v>
          </cell>
          <cell r="D274" t="str">
            <v>Conjunto de aterramento de transformador.</v>
          </cell>
          <cell r="E274" t="str">
            <v xml:space="preserve"> un</v>
          </cell>
          <cell r="F274">
            <v>176.69</v>
          </cell>
          <cell r="G274">
            <v>53</v>
          </cell>
        </row>
        <row r="275">
          <cell r="B275" t="str">
            <v>IP30200509</v>
          </cell>
          <cell r="C275">
            <v>270</v>
          </cell>
          <cell r="D275" t="str">
            <v>Luva para eletroduto de PVC rígido de 50mm.</v>
          </cell>
          <cell r="E275" t="str">
            <v xml:space="preserve"> un</v>
          </cell>
          <cell r="F275">
            <v>3.43</v>
          </cell>
          <cell r="G275">
            <v>40</v>
          </cell>
        </row>
        <row r="276">
          <cell r="B276" t="str">
            <v>IP50300700</v>
          </cell>
          <cell r="C276">
            <v>271</v>
          </cell>
          <cell r="D276" t="str">
            <v>Reator subterrâneo lâmpada vapor de sódio de 70W.</v>
          </cell>
          <cell r="E276" t="str">
            <v xml:space="preserve"> un</v>
          </cell>
          <cell r="F276">
            <v>40.54</v>
          </cell>
          <cell r="G276">
            <v>200</v>
          </cell>
        </row>
        <row r="277">
          <cell r="B277" t="str">
            <v>IP50300750</v>
          </cell>
          <cell r="C277">
            <v>272</v>
          </cell>
          <cell r="D277" t="str">
            <v>Reator subterrâneo lâmpada vapor de sódio de 150W.</v>
          </cell>
          <cell r="E277" t="str">
            <v xml:space="preserve"> un</v>
          </cell>
          <cell r="F277">
            <v>74.319999999999993</v>
          </cell>
          <cell r="G277">
            <v>26</v>
          </cell>
        </row>
        <row r="278">
          <cell r="B278" t="str">
            <v>IP60200200</v>
          </cell>
          <cell r="C278">
            <v>273</v>
          </cell>
          <cell r="D278" t="str">
            <v xml:space="preserve">Retirada de chaves fusíveis e ferragens, linha 13,2Kv.   </v>
          </cell>
          <cell r="E278" t="str">
            <v xml:space="preserve"> un</v>
          </cell>
          <cell r="F278">
            <v>9.76</v>
          </cell>
          <cell r="G278">
            <v>100</v>
          </cell>
        </row>
        <row r="279">
          <cell r="B279" t="str">
            <v>IP60200362</v>
          </cell>
          <cell r="C279">
            <v>274</v>
          </cell>
          <cell r="D279" t="str">
            <v>Retirada de luminária em poste com 13m a 15m.</v>
          </cell>
          <cell r="E279" t="str">
            <v xml:space="preserve"> un</v>
          </cell>
          <cell r="F279">
            <v>9.76</v>
          </cell>
          <cell r="G279">
            <v>118</v>
          </cell>
        </row>
        <row r="280">
          <cell r="B280" t="str">
            <v>IP60200512</v>
          </cell>
          <cell r="C280">
            <v>275</v>
          </cell>
          <cell r="D280" t="str">
            <v xml:space="preserve">Retirada de poste de concreto ou aço de 13m a 15m.   </v>
          </cell>
          <cell r="E280" t="str">
            <v xml:space="preserve"> un</v>
          </cell>
          <cell r="F280">
            <v>97.64</v>
          </cell>
          <cell r="G280">
            <v>108</v>
          </cell>
        </row>
        <row r="281">
          <cell r="B281" t="str">
            <v>IP60200650</v>
          </cell>
          <cell r="C281">
            <v>276</v>
          </cell>
          <cell r="D281" t="str">
            <v xml:space="preserve">Retirada de rede aérea de 13,2Kv (lance).   </v>
          </cell>
          <cell r="E281" t="str">
            <v xml:space="preserve"> un</v>
          </cell>
          <cell r="F281">
            <v>19.53</v>
          </cell>
          <cell r="G281">
            <v>94</v>
          </cell>
        </row>
        <row r="282">
          <cell r="B282" t="str">
            <v>IP60200800</v>
          </cell>
          <cell r="C282">
            <v>277</v>
          </cell>
          <cell r="D282" t="str">
            <v xml:space="preserve">Retirada de transformadores de 5Kva até 112,5Kva.   </v>
          </cell>
          <cell r="E282" t="str">
            <v xml:space="preserve"> un</v>
          </cell>
          <cell r="F282">
            <v>39.06</v>
          </cell>
          <cell r="G282">
            <v>2</v>
          </cell>
        </row>
        <row r="283">
          <cell r="B283" t="str">
            <v>IP99990150</v>
          </cell>
          <cell r="C283">
            <v>278</v>
          </cell>
          <cell r="D283" t="str">
            <v>Capa isolante de silicone para conector tipo cunha.</v>
          </cell>
          <cell r="E283" t="str">
            <v xml:space="preserve"> un</v>
          </cell>
          <cell r="F283">
            <v>3.68</v>
          </cell>
          <cell r="G283">
            <v>1475</v>
          </cell>
        </row>
        <row r="284">
          <cell r="B284" t="str">
            <v>ST05051200</v>
          </cell>
          <cell r="C284">
            <v>279</v>
          </cell>
          <cell r="D284" t="str">
            <v>Sinalização horizontal, aplicada por extursão.</v>
          </cell>
          <cell r="E284" t="str">
            <v>m2</v>
          </cell>
          <cell r="F284">
            <v>37.81</v>
          </cell>
          <cell r="G284">
            <v>1000</v>
          </cell>
        </row>
        <row r="285">
          <cell r="B285" t="str">
            <v>ST10150050</v>
          </cell>
          <cell r="C285">
            <v>280</v>
          </cell>
          <cell r="D285" t="str">
            <v>Bloco semafórico para pedestre.</v>
          </cell>
          <cell r="E285" t="str">
            <v xml:space="preserve"> un</v>
          </cell>
          <cell r="F285">
            <v>224.25</v>
          </cell>
          <cell r="G285">
            <v>60</v>
          </cell>
        </row>
        <row r="286">
          <cell r="B286" t="str">
            <v>ST10150150</v>
          </cell>
          <cell r="C286">
            <v>281</v>
          </cell>
          <cell r="D286" t="str">
            <v>Bloco semafórico principal.</v>
          </cell>
          <cell r="E286" t="str">
            <v xml:space="preserve"> un</v>
          </cell>
          <cell r="F286">
            <v>691.39</v>
          </cell>
          <cell r="G286">
            <v>48</v>
          </cell>
        </row>
        <row r="287">
          <cell r="B287" t="str">
            <v>ST10150200</v>
          </cell>
          <cell r="C287">
            <v>282</v>
          </cell>
          <cell r="D287" t="str">
            <v>Bloco semafórico repetidor.</v>
          </cell>
          <cell r="E287" t="str">
            <v xml:space="preserve"> un</v>
          </cell>
          <cell r="F287">
            <v>423</v>
          </cell>
          <cell r="G287">
            <v>65</v>
          </cell>
        </row>
        <row r="288">
          <cell r="B288" t="str">
            <v>ST10150300</v>
          </cell>
          <cell r="C288">
            <v>283</v>
          </cell>
          <cell r="D288" t="str">
            <v>Conjunto semafórico para pedestre.</v>
          </cell>
          <cell r="E288" t="str">
            <v xml:space="preserve"> un</v>
          </cell>
          <cell r="F288">
            <v>1779.7</v>
          </cell>
          <cell r="G288">
            <v>20</v>
          </cell>
        </row>
        <row r="289">
          <cell r="B289" t="str">
            <v>ST15250100</v>
          </cell>
          <cell r="C289">
            <v>284</v>
          </cell>
          <cell r="D289" t="str">
            <v>Placa de sinalização de alumínio com fundo pintado.</v>
          </cell>
          <cell r="E289" t="str">
            <v>m2</v>
          </cell>
          <cell r="F289">
            <v>239</v>
          </cell>
          <cell r="G289">
            <v>30</v>
          </cell>
        </row>
        <row r="290">
          <cell r="B290" t="str">
            <v>ST15250150</v>
          </cell>
          <cell r="C290">
            <v>285</v>
          </cell>
          <cell r="D290" t="str">
            <v>Placa de sinalização de alumínio em película refletiva.</v>
          </cell>
          <cell r="E290" t="str">
            <v>m2</v>
          </cell>
          <cell r="F290">
            <v>1013.69</v>
          </cell>
          <cell r="G290">
            <v>60</v>
          </cell>
        </row>
        <row r="291">
          <cell r="B291" t="str">
            <v>ST15250200</v>
          </cell>
          <cell r="C291">
            <v>286</v>
          </cell>
          <cell r="D291" t="str">
            <v>Placa de sinalização de alumínio em película refletiva.</v>
          </cell>
          <cell r="E291" t="str">
            <v>m2</v>
          </cell>
          <cell r="F291">
            <v>564.05999999999995</v>
          </cell>
          <cell r="G291">
            <v>400</v>
          </cell>
        </row>
        <row r="292">
          <cell r="B292" t="str">
            <v>ST10100050</v>
          </cell>
          <cell r="C292">
            <v>287</v>
          </cell>
          <cell r="D292" t="str">
            <v>Controlador de área, compatível com CET-RIO/CTA.</v>
          </cell>
          <cell r="E292" t="str">
            <v xml:space="preserve"> un</v>
          </cell>
          <cell r="F292">
            <v>53682.42</v>
          </cell>
          <cell r="G292">
            <v>1</v>
          </cell>
        </row>
        <row r="293">
          <cell r="B293" t="str">
            <v>ST10100450</v>
          </cell>
          <cell r="C293">
            <v>288</v>
          </cell>
          <cell r="D293" t="str">
            <v>Controlador eletrônico de tráfego local, 4 fases.</v>
          </cell>
          <cell r="E293" t="str">
            <v xml:space="preserve"> un</v>
          </cell>
          <cell r="F293">
            <v>8268.98</v>
          </cell>
          <cell r="G293">
            <v>2</v>
          </cell>
        </row>
        <row r="294">
          <cell r="B294" t="str">
            <v>ST10100500</v>
          </cell>
          <cell r="C294">
            <v>289</v>
          </cell>
          <cell r="D294" t="str">
            <v>Controlador eletrônico de tráfego local, 6 fases.</v>
          </cell>
          <cell r="E294" t="str">
            <v xml:space="preserve"> un</v>
          </cell>
          <cell r="F294">
            <v>9048.98</v>
          </cell>
          <cell r="G294">
            <v>1</v>
          </cell>
        </row>
        <row r="295">
          <cell r="B295" t="str">
            <v>ST10100550</v>
          </cell>
          <cell r="C295">
            <v>290</v>
          </cell>
          <cell r="D295" t="str">
            <v>Controlador eletrônico de tráfego local, 8 fases.</v>
          </cell>
          <cell r="E295" t="str">
            <v xml:space="preserve"> un</v>
          </cell>
          <cell r="F295">
            <v>9828.98</v>
          </cell>
          <cell r="G295">
            <v>1</v>
          </cell>
        </row>
        <row r="296">
          <cell r="B296" t="str">
            <v>ST10100600</v>
          </cell>
          <cell r="C296">
            <v>291</v>
          </cell>
          <cell r="D296" t="str">
            <v>Controlador eletrônico de tráfego local, 10 fases.</v>
          </cell>
          <cell r="E296" t="str">
            <v xml:space="preserve"> un</v>
          </cell>
          <cell r="F296">
            <v>15372.94</v>
          </cell>
          <cell r="G296">
            <v>1</v>
          </cell>
        </row>
        <row r="297">
          <cell r="B297" t="str">
            <v>ST10100650</v>
          </cell>
          <cell r="C297">
            <v>292</v>
          </cell>
          <cell r="D297" t="str">
            <v>Controlador eletrônico de tráfego local, 12 fases.</v>
          </cell>
          <cell r="E297" t="str">
            <v xml:space="preserve"> un</v>
          </cell>
          <cell r="F297">
            <v>16152.94</v>
          </cell>
          <cell r="G297">
            <v>2</v>
          </cell>
        </row>
        <row r="298">
          <cell r="B298" t="str">
            <v>ST10150300</v>
          </cell>
          <cell r="C298">
            <v>293</v>
          </cell>
          <cell r="D298" t="str">
            <v>Conjunto semafórico para pedestre.</v>
          </cell>
          <cell r="E298" t="str">
            <v xml:space="preserve"> un</v>
          </cell>
          <cell r="F298">
            <v>1779.7</v>
          </cell>
          <cell r="G298">
            <v>20</v>
          </cell>
        </row>
        <row r="299">
          <cell r="B299" t="str">
            <v>ST25100150</v>
          </cell>
          <cell r="C299">
            <v>294</v>
          </cell>
          <cell r="D299" t="str">
            <v>Fornecimento de cabo comunicação de CTP-APL-50.</v>
          </cell>
          <cell r="E299" t="str">
            <v>m</v>
          </cell>
          <cell r="F299">
            <v>2.64</v>
          </cell>
          <cell r="G299">
            <v>220</v>
          </cell>
        </row>
        <row r="300">
          <cell r="B300" t="str">
            <v>ST25100300</v>
          </cell>
          <cell r="C300">
            <v>295</v>
          </cell>
          <cell r="D300" t="str">
            <v>Fornecimento de cabo comunicação de cobre, 0,65mm2.</v>
          </cell>
          <cell r="E300" t="str">
            <v>m</v>
          </cell>
          <cell r="F300">
            <v>0.97</v>
          </cell>
          <cell r="G300">
            <v>1215</v>
          </cell>
        </row>
        <row r="301">
          <cell r="B301" t="str">
            <v>ST25100400</v>
          </cell>
          <cell r="C301">
            <v>296</v>
          </cell>
          <cell r="D301" t="str">
            <v xml:space="preserve">Fornecimento de fio telefônico FE-100, ø de 1mm2.      </v>
          </cell>
          <cell r="E301" t="str">
            <v>m</v>
          </cell>
          <cell r="F301">
            <v>0.57999999999999996</v>
          </cell>
          <cell r="G301">
            <v>4618</v>
          </cell>
        </row>
        <row r="302">
          <cell r="B302" t="str">
            <v>ST25150050</v>
          </cell>
          <cell r="C302">
            <v>297</v>
          </cell>
          <cell r="D302" t="str">
            <v>Cabo de fibra ótico, monomodo, geleado.</v>
          </cell>
          <cell r="E302" t="str">
            <v>m</v>
          </cell>
          <cell r="F302">
            <v>3.99</v>
          </cell>
          <cell r="G302">
            <v>972</v>
          </cell>
        </row>
        <row r="303">
          <cell r="B303" t="str">
            <v>ST05050150</v>
          </cell>
          <cell r="C303">
            <v>298</v>
          </cell>
          <cell r="D303" t="str">
            <v>Laminado elastoplástico em faixas, colorido.</v>
          </cell>
          <cell r="E303" t="str">
            <v>m2</v>
          </cell>
          <cell r="F303">
            <v>67.95</v>
          </cell>
          <cell r="G303">
            <v>254</v>
          </cell>
        </row>
        <row r="304">
          <cell r="B304" t="str">
            <v>ST05050250</v>
          </cell>
          <cell r="C304">
            <v>299</v>
          </cell>
          <cell r="D304" t="str">
            <v>Laminado elastoplástico em faixas, cor branca.</v>
          </cell>
          <cell r="E304" t="str">
            <v>m2</v>
          </cell>
          <cell r="F304">
            <v>60.65</v>
          </cell>
          <cell r="G304">
            <v>254</v>
          </cell>
        </row>
        <row r="305">
          <cell r="B305" t="str">
            <v>ST10050050A</v>
          </cell>
          <cell r="C305">
            <v>300</v>
          </cell>
          <cell r="D305" t="str">
            <v>Cabo de cobre estanhado, seção de 7x2,5mm2.</v>
          </cell>
          <cell r="E305" t="str">
            <v>m</v>
          </cell>
          <cell r="F305">
            <v>4.8499999999999996</v>
          </cell>
          <cell r="G305">
            <v>1000</v>
          </cell>
        </row>
        <row r="306">
          <cell r="B306" t="str">
            <v>ST10050100A</v>
          </cell>
          <cell r="C306">
            <v>301</v>
          </cell>
          <cell r="D306" t="str">
            <v>Cabo de cobre estanhado, seção de 4x6mm2.</v>
          </cell>
          <cell r="E306" t="str">
            <v>m</v>
          </cell>
          <cell r="F306">
            <v>5.64</v>
          </cell>
          <cell r="G306">
            <v>400</v>
          </cell>
        </row>
        <row r="307">
          <cell r="B307" t="str">
            <v>ST10050150A</v>
          </cell>
          <cell r="C307">
            <v>302</v>
          </cell>
          <cell r="D307" t="str">
            <v>Cabo de cobre estanhado, seção de 4x10mm2.</v>
          </cell>
          <cell r="E307" t="str">
            <v>m</v>
          </cell>
          <cell r="F307">
            <v>8.77</v>
          </cell>
          <cell r="G307">
            <v>240</v>
          </cell>
        </row>
        <row r="308">
          <cell r="B308" t="str">
            <v>ST10050250A</v>
          </cell>
          <cell r="C308">
            <v>303</v>
          </cell>
          <cell r="D308" t="str">
            <v>Caixa com tampa de ferro leve 300L-400mm,CET-RIO.</v>
          </cell>
          <cell r="E308" t="str">
            <v>un</v>
          </cell>
          <cell r="F308">
            <v>72.06</v>
          </cell>
          <cell r="G308">
            <v>48</v>
          </cell>
        </row>
        <row r="309">
          <cell r="B309" t="str">
            <v>ST10200150A</v>
          </cell>
          <cell r="C309">
            <v>304</v>
          </cell>
          <cell r="D309" t="str">
            <v xml:space="preserve">Base de concreto armado para controlador de tráfego.  </v>
          </cell>
          <cell r="E309" t="str">
            <v>un</v>
          </cell>
          <cell r="F309">
            <v>49.39</v>
          </cell>
          <cell r="G309">
            <v>4</v>
          </cell>
        </row>
        <row r="310">
          <cell r="B310" t="str">
            <v>ST10200250A</v>
          </cell>
          <cell r="C310">
            <v>305</v>
          </cell>
          <cell r="D310" t="str">
            <v xml:space="preserve">Instalação, programação de controlador de tráfego.    </v>
          </cell>
          <cell r="E310" t="str">
            <v>un</v>
          </cell>
          <cell r="F310">
            <v>159.88</v>
          </cell>
          <cell r="G310">
            <v>4</v>
          </cell>
        </row>
        <row r="311">
          <cell r="B311" t="str">
            <v>ST10200300</v>
          </cell>
          <cell r="C311">
            <v>306</v>
          </cell>
          <cell r="D311" t="str">
            <v>Serviços de instalação de laços indutivos.</v>
          </cell>
          <cell r="E311" t="str">
            <v>un</v>
          </cell>
          <cell r="F311">
            <v>680</v>
          </cell>
          <cell r="G311">
            <v>7</v>
          </cell>
        </row>
        <row r="312">
          <cell r="B312" t="str">
            <v>ST15100200</v>
          </cell>
          <cell r="C312">
            <v>307</v>
          </cell>
          <cell r="D312" t="str">
            <v>Poste tipo G9, simples, de 2" de diâmetro.</v>
          </cell>
          <cell r="E312" t="str">
            <v>un</v>
          </cell>
          <cell r="F312">
            <v>163.80000000000001</v>
          </cell>
          <cell r="G312">
            <v>70</v>
          </cell>
        </row>
        <row r="313">
          <cell r="B313" t="str">
            <v>ST15100250</v>
          </cell>
          <cell r="C313">
            <v>308</v>
          </cell>
          <cell r="D313" t="str">
            <v>Poste tipo S5, simples, de 4" de diâmetro.</v>
          </cell>
          <cell r="E313" t="str">
            <v>un</v>
          </cell>
          <cell r="F313">
            <v>496.65</v>
          </cell>
          <cell r="G313">
            <v>19</v>
          </cell>
        </row>
        <row r="314">
          <cell r="B314" t="str">
            <v>ST15100350</v>
          </cell>
          <cell r="C314">
            <v>309</v>
          </cell>
          <cell r="D314" t="str">
            <v>Poste tipo G2 ou S2, coluna de 4 1/2" de diâmetro.</v>
          </cell>
          <cell r="E314" t="str">
            <v>un</v>
          </cell>
          <cell r="F314">
            <v>1234.8</v>
          </cell>
          <cell r="G314">
            <v>14</v>
          </cell>
        </row>
        <row r="315">
          <cell r="B315" t="str">
            <v>ST15100400</v>
          </cell>
          <cell r="C315">
            <v>310</v>
          </cell>
          <cell r="D315" t="str">
            <v>Poste tipo G1 ou S1, coluna de 4 1/2" de diâmetro.</v>
          </cell>
          <cell r="E315" t="str">
            <v>un</v>
          </cell>
          <cell r="F315">
            <v>1342.95</v>
          </cell>
          <cell r="G315">
            <v>15</v>
          </cell>
        </row>
        <row r="316">
          <cell r="B316" t="str">
            <v>ST25050300A</v>
          </cell>
          <cell r="C316">
            <v>311</v>
          </cell>
          <cell r="D316" t="str">
            <v>Instalação subterrânea de cabos de comunicação.</v>
          </cell>
          <cell r="E316" t="str">
            <v>m</v>
          </cell>
          <cell r="F316">
            <v>2.12</v>
          </cell>
          <cell r="G316">
            <v>5700</v>
          </cell>
        </row>
        <row r="317">
          <cell r="B317" t="str">
            <v>ST45150050</v>
          </cell>
          <cell r="C317">
            <v>312</v>
          </cell>
          <cell r="D317" t="str">
            <v>Caixa com tampa de ferro,leve 600L-600mmCET-RIO.</v>
          </cell>
          <cell r="E317" t="str">
            <v>un</v>
          </cell>
          <cell r="F317">
            <v>265.45</v>
          </cell>
          <cell r="G317">
            <v>55</v>
          </cell>
        </row>
        <row r="318">
          <cell r="B318" t="str">
            <v>ST45200050</v>
          </cell>
          <cell r="C318">
            <v>313</v>
          </cell>
          <cell r="D318" t="str">
            <v>Cabo de cobre estanhado, comando,XLPE 9x1,5mm2.</v>
          </cell>
          <cell r="E318" t="str">
            <v>m</v>
          </cell>
          <cell r="F318">
            <v>4.34</v>
          </cell>
          <cell r="G318">
            <v>1800</v>
          </cell>
        </row>
        <row r="319">
          <cell r="B319" t="str">
            <v>ST45200200</v>
          </cell>
          <cell r="C319">
            <v>314</v>
          </cell>
          <cell r="D319" t="str">
            <v xml:space="preserve">Instalação e teste de blocos semafóricos.  </v>
          </cell>
          <cell r="E319" t="str">
            <v>un</v>
          </cell>
          <cell r="F319">
            <v>54.85</v>
          </cell>
          <cell r="G319">
            <v>58</v>
          </cell>
        </row>
        <row r="321">
          <cell r="B321" t="str">
            <v>ITENS INSERIDOS</v>
          </cell>
        </row>
        <row r="322">
          <cell r="B322" t="str">
            <v>BP20150053</v>
          </cell>
          <cell r="C322">
            <v>315</v>
          </cell>
          <cell r="D322" t="str">
            <v>Sarjeta e meio-fio conjugados, moldado no local, 0,45m.</v>
          </cell>
          <cell r="E322" t="str">
            <v>m</v>
          </cell>
          <cell r="F322">
            <v>37.200000000000003</v>
          </cell>
          <cell r="G322">
            <v>3640.55</v>
          </cell>
        </row>
        <row r="323">
          <cell r="B323" t="str">
            <v>BP10200356</v>
          </cell>
          <cell r="C323">
            <v>316</v>
          </cell>
          <cell r="D323" t="str">
            <v xml:space="preserve">Revestimento intertravado, cor natural, 8cm. </v>
          </cell>
          <cell r="E323" t="str">
            <v>m2</v>
          </cell>
          <cell r="F323">
            <v>38.08</v>
          </cell>
          <cell r="G323">
            <v>13265.71</v>
          </cell>
        </row>
        <row r="324">
          <cell r="B324" t="str">
            <v>BP10200359</v>
          </cell>
          <cell r="C324">
            <v>317</v>
          </cell>
          <cell r="D324" t="str">
            <v>Revestimento intertravado com cimento cinza, colorido; 8cm.</v>
          </cell>
          <cell r="E324" t="str">
            <v>m2</v>
          </cell>
          <cell r="F324">
            <v>43.85</v>
          </cell>
          <cell r="G324">
            <v>1167.57</v>
          </cell>
        </row>
        <row r="326">
          <cell r="B326" t="str">
            <v>ITENS NOVOS</v>
          </cell>
        </row>
        <row r="327">
          <cell r="B327" t="str">
            <v>AD05200050</v>
          </cell>
          <cell r="C327">
            <v>318</v>
          </cell>
          <cell r="D327" t="str">
            <v xml:space="preserve">Sondagem a percurssao ate 3" </v>
          </cell>
          <cell r="E327" t="str">
            <v>m</v>
          </cell>
          <cell r="F327">
            <v>49</v>
          </cell>
          <cell r="G327">
            <v>270</v>
          </cell>
        </row>
        <row r="328">
          <cell r="B328" t="str">
            <v>AD15050050</v>
          </cell>
          <cell r="C328">
            <v>319</v>
          </cell>
          <cell r="D328" t="str">
            <v>Deslocamento, entre furos, sondagem a percurssao.</v>
          </cell>
          <cell r="E328" t="str">
            <v>un</v>
          </cell>
          <cell r="F328">
            <v>152.19</v>
          </cell>
          <cell r="G328">
            <v>13</v>
          </cell>
        </row>
        <row r="329">
          <cell r="B329" t="str">
            <v>AD20150050</v>
          </cell>
          <cell r="C329">
            <v>320</v>
          </cell>
          <cell r="D329" t="str">
            <v>Container para escritorio.</v>
          </cell>
          <cell r="E329" t="str">
            <v>un.mes</v>
          </cell>
          <cell r="F329">
            <v>494.18</v>
          </cell>
          <cell r="G329">
            <v>6</v>
          </cell>
        </row>
        <row r="330">
          <cell r="B330" t="str">
            <v>AD20150150</v>
          </cell>
          <cell r="C330">
            <v>321</v>
          </cell>
          <cell r="D330" t="str">
            <v>Container para WC.</v>
          </cell>
          <cell r="E330" t="str">
            <v>un.mes</v>
          </cell>
          <cell r="F330">
            <v>511.48</v>
          </cell>
          <cell r="G330">
            <v>3</v>
          </cell>
        </row>
        <row r="331">
          <cell r="B331" t="str">
            <v>AD40050128</v>
          </cell>
          <cell r="C331">
            <v>322</v>
          </cell>
          <cell r="D331" t="str">
            <v>Engenheiro coordenador geral de projetos.</v>
          </cell>
          <cell r="E331" t="str">
            <v>h</v>
          </cell>
          <cell r="F331">
            <v>43.69</v>
          </cell>
          <cell r="G331">
            <v>378</v>
          </cell>
        </row>
        <row r="332">
          <cell r="B332" t="str">
            <v>AD40050152</v>
          </cell>
          <cell r="C332">
            <v>323</v>
          </cell>
          <cell r="D332" t="str">
            <v>Mestre de obra A (inclusive encargos sociais).</v>
          </cell>
          <cell r="E332" t="str">
            <v>h</v>
          </cell>
          <cell r="F332">
            <v>15.91</v>
          </cell>
          <cell r="G332">
            <v>3009</v>
          </cell>
        </row>
        <row r="333">
          <cell r="B333" t="str">
            <v>AL05250450</v>
          </cell>
          <cell r="C333">
            <v>324</v>
          </cell>
          <cell r="D333" t="str">
            <v>Alvenaria de blocos de concreto (20x20x40)cm.</v>
          </cell>
          <cell r="E333" t="str">
            <v>m2</v>
          </cell>
          <cell r="F333">
            <v>32.409999999999997</v>
          </cell>
          <cell r="G333">
            <v>732.34</v>
          </cell>
        </row>
        <row r="334">
          <cell r="B334" t="str">
            <v>BP10250303</v>
          </cell>
          <cell r="C334">
            <v>325</v>
          </cell>
          <cell r="D334" t="str">
            <v>Pavimentacao com paralelepipedos, colchao de pó.</v>
          </cell>
          <cell r="E334" t="str">
            <v>m2</v>
          </cell>
          <cell r="F334">
            <v>34.6</v>
          </cell>
          <cell r="G334">
            <v>577.88</v>
          </cell>
        </row>
        <row r="335">
          <cell r="B335" t="str">
            <v>BP20100100</v>
          </cell>
          <cell r="C335">
            <v>326</v>
          </cell>
          <cell r="D335" t="str">
            <v>Meio-fio de concreto 13,5MPa mold no local, 0,15x0,30m.</v>
          </cell>
          <cell r="E335" t="str">
            <v>m</v>
          </cell>
          <cell r="F335">
            <v>23.38</v>
          </cell>
          <cell r="G335">
            <v>277.51</v>
          </cell>
        </row>
        <row r="336">
          <cell r="B336" t="str">
            <v>DR30200053</v>
          </cell>
          <cell r="C336">
            <v>327</v>
          </cell>
          <cell r="D336" t="str">
            <v>Caixa de inspecao para esgoto sanitario 0,75m de prof.</v>
          </cell>
          <cell r="E336" t="str">
            <v>un</v>
          </cell>
          <cell r="F336">
            <v>247.46</v>
          </cell>
          <cell r="G336">
            <v>79</v>
          </cell>
        </row>
        <row r="337">
          <cell r="B337" t="str">
            <v>DR35050050</v>
          </cell>
          <cell r="C337">
            <v>328</v>
          </cell>
          <cell r="D337" t="str">
            <v>Tampao de ferro fundido artic., de 30cm,RIOLUZ/CET-RIO.</v>
          </cell>
          <cell r="E337" t="str">
            <v xml:space="preserve">un  </v>
          </cell>
          <cell r="F337">
            <v>50.48</v>
          </cell>
          <cell r="G337">
            <v>199</v>
          </cell>
        </row>
        <row r="338">
          <cell r="B338" t="str">
            <v>DR35050053</v>
          </cell>
          <cell r="C338">
            <v>329</v>
          </cell>
          <cell r="D338" t="str">
            <v>Tampao de ferro fundido leve ø0,60m padrao RIOLUZ.</v>
          </cell>
          <cell r="E338" t="str">
            <v xml:space="preserve">un  </v>
          </cell>
          <cell r="F338">
            <v>206.59</v>
          </cell>
          <cell r="G338">
            <v>14</v>
          </cell>
        </row>
        <row r="339">
          <cell r="B339" t="str">
            <v>DR55050050</v>
          </cell>
          <cell r="C339">
            <v>330</v>
          </cell>
          <cell r="D339" t="str">
            <v>Camada horizontal de brita.</v>
          </cell>
          <cell r="E339" t="str">
            <v>m3</v>
          </cell>
          <cell r="F339">
            <v>41.32</v>
          </cell>
          <cell r="G339">
            <v>38.5</v>
          </cell>
        </row>
        <row r="340">
          <cell r="B340" t="str">
            <v>ET05600050</v>
          </cell>
          <cell r="C340">
            <v>331</v>
          </cell>
          <cell r="D340" t="str">
            <v>Concreto armado de 15MPa.</v>
          </cell>
          <cell r="E340" t="str">
            <v>m3</v>
          </cell>
          <cell r="F340">
            <v>700.29</v>
          </cell>
          <cell r="G340">
            <v>148.97999999999999</v>
          </cell>
        </row>
        <row r="341">
          <cell r="B341" t="str">
            <v>ET15200103</v>
          </cell>
          <cell r="C341">
            <v>332</v>
          </cell>
          <cell r="D341" t="str">
            <v>Formas de placas de Madeirit,17mm de espessura plast.</v>
          </cell>
          <cell r="E341" t="str">
            <v>m2</v>
          </cell>
          <cell r="F341">
            <v>47.48</v>
          </cell>
          <cell r="G341">
            <v>1739.95</v>
          </cell>
        </row>
        <row r="342">
          <cell r="B342" t="str">
            <v>ET20050050</v>
          </cell>
          <cell r="C342">
            <v>333</v>
          </cell>
          <cell r="D342" t="str">
            <v>Escoramento de pontilhoes,pontes,viadutos concreto armado.</v>
          </cell>
          <cell r="E342" t="str">
            <v>m3</v>
          </cell>
          <cell r="F342">
            <v>40.97</v>
          </cell>
          <cell r="G342">
            <v>2258.8000000000002</v>
          </cell>
        </row>
        <row r="343">
          <cell r="B343" t="str">
            <v>ET20300100</v>
          </cell>
          <cell r="C343">
            <v>334</v>
          </cell>
          <cell r="D343" t="str">
            <v xml:space="preserve">Escoramento de formas de 1,50m e ate 5m. </v>
          </cell>
          <cell r="E343" t="str">
            <v>m2</v>
          </cell>
          <cell r="F343">
            <v>17.66</v>
          </cell>
          <cell r="G343">
            <v>943.11</v>
          </cell>
        </row>
        <row r="344">
          <cell r="B344" t="str">
            <v>ET40050121</v>
          </cell>
          <cell r="C344">
            <v>335</v>
          </cell>
          <cell r="D344" t="str">
            <v>Tela de aco Telcon com malha de (10x10)cm.</v>
          </cell>
          <cell r="E344" t="str">
            <v>m2</v>
          </cell>
          <cell r="F344">
            <v>24.52</v>
          </cell>
          <cell r="G344">
            <v>1582.14</v>
          </cell>
        </row>
        <row r="345">
          <cell r="B345" t="str">
            <v>ET60050053</v>
          </cell>
          <cell r="C345">
            <v>336</v>
          </cell>
          <cell r="D345" t="str">
            <v>Concreto usinado 11MPa.</v>
          </cell>
          <cell r="E345" t="str">
            <v>m3</v>
          </cell>
          <cell r="F345">
            <v>166.68</v>
          </cell>
          <cell r="G345">
            <v>678.35</v>
          </cell>
        </row>
        <row r="346">
          <cell r="B346" t="str">
            <v>ET60050068</v>
          </cell>
          <cell r="C346">
            <v>337</v>
          </cell>
          <cell r="D346" t="str">
            <v>Concreto usinado 22,5MPa.</v>
          </cell>
          <cell r="E346" t="str">
            <v>m3</v>
          </cell>
          <cell r="F346">
            <v>209.87</v>
          </cell>
          <cell r="G346">
            <v>79.11</v>
          </cell>
        </row>
        <row r="347">
          <cell r="B347" t="str">
            <v>IP25100025</v>
          </cell>
          <cell r="C347">
            <v>338</v>
          </cell>
          <cell r="D347" t="str">
            <v>Caixa Hand-Hole, (0,30x0,30)m.</v>
          </cell>
          <cell r="E347" t="str">
            <v>un</v>
          </cell>
          <cell r="F347">
            <v>26.29</v>
          </cell>
          <cell r="G347">
            <v>227</v>
          </cell>
        </row>
        <row r="348">
          <cell r="B348" t="str">
            <v>IP25200050</v>
          </cell>
          <cell r="C348">
            <v>339</v>
          </cell>
          <cell r="D348" t="str">
            <v>Tampao de ferro tipo leve padrao RIOLUZ.</v>
          </cell>
          <cell r="E348" t="str">
            <v>un</v>
          </cell>
          <cell r="F348">
            <v>188.93</v>
          </cell>
          <cell r="G348">
            <v>100</v>
          </cell>
        </row>
        <row r="349">
          <cell r="B349" t="str">
            <v>IP55150100</v>
          </cell>
          <cell r="C349">
            <v>340</v>
          </cell>
          <cell r="D349" t="str">
            <v>Chumbador para fixacao de poste de aco.</v>
          </cell>
          <cell r="E349" t="str">
            <v>un</v>
          </cell>
          <cell r="F349">
            <v>27.89</v>
          </cell>
          <cell r="G349">
            <v>1304</v>
          </cell>
        </row>
        <row r="350">
          <cell r="B350" t="str">
            <v>IT10400050</v>
          </cell>
          <cell r="C350">
            <v>341</v>
          </cell>
          <cell r="D350" t="str">
            <v>Ligacao domiciliar de agua.</v>
          </cell>
          <cell r="E350" t="str">
            <v>un</v>
          </cell>
          <cell r="F350">
            <v>96.69</v>
          </cell>
          <cell r="G350">
            <v>67</v>
          </cell>
        </row>
        <row r="351">
          <cell r="B351" t="str">
            <v>IT15600100</v>
          </cell>
          <cell r="C351">
            <v>342</v>
          </cell>
          <cell r="D351" t="str">
            <v>Ligacao de esgoto sanitario, em manilha de 100mm.</v>
          </cell>
          <cell r="E351" t="str">
            <v>un</v>
          </cell>
          <cell r="F351">
            <v>344.53</v>
          </cell>
          <cell r="G351">
            <v>79</v>
          </cell>
        </row>
        <row r="352">
          <cell r="B352" t="str">
            <v>MT05050100</v>
          </cell>
          <cell r="C352">
            <v>343</v>
          </cell>
          <cell r="D352" t="str">
            <v>Escavacao manual de vala, 1,50m e 3m de profundidade.</v>
          </cell>
          <cell r="E352" t="str">
            <v>m3</v>
          </cell>
          <cell r="F352">
            <v>19.93</v>
          </cell>
          <cell r="G352">
            <v>1092</v>
          </cell>
        </row>
        <row r="353">
          <cell r="B353" t="str">
            <v>MT05100100</v>
          </cell>
          <cell r="C353">
            <v>344</v>
          </cell>
          <cell r="D353" t="str">
            <v>Escavacao manual de vala a frio.</v>
          </cell>
          <cell r="E353" t="str">
            <v>m3</v>
          </cell>
          <cell r="F353">
            <v>22.26</v>
          </cell>
          <cell r="G353">
            <v>3071.18</v>
          </cell>
        </row>
        <row r="354">
          <cell r="B354" t="str">
            <v>MT05150050</v>
          </cell>
          <cell r="C354">
            <v>345</v>
          </cell>
          <cell r="D354" t="str">
            <v>Escavacao manual de vala em lodo, ate 1,50m.</v>
          </cell>
          <cell r="E354" t="str">
            <v>m3</v>
          </cell>
          <cell r="F354">
            <v>24.36</v>
          </cell>
          <cell r="G354">
            <v>1395.9</v>
          </cell>
        </row>
        <row r="355">
          <cell r="B355" t="str">
            <v>PJ25250050</v>
          </cell>
          <cell r="C355">
            <v>346</v>
          </cell>
          <cell r="D355" t="str">
            <v>Balizador modelo Copacabana, cilindrico, liso, pre-fabricado.</v>
          </cell>
          <cell r="E355" t="str">
            <v>un</v>
          </cell>
          <cell r="F355">
            <v>98.43</v>
          </cell>
          <cell r="G355">
            <v>419</v>
          </cell>
        </row>
        <row r="356">
          <cell r="B356" t="str">
            <v>RV10050215</v>
          </cell>
          <cell r="C356">
            <v>347</v>
          </cell>
          <cell r="D356" t="str">
            <v>Revestimento externo, de 1 vez.</v>
          </cell>
          <cell r="E356" t="str">
            <v>m2</v>
          </cell>
          <cell r="F356">
            <v>17.29</v>
          </cell>
          <cell r="G356">
            <v>501.79</v>
          </cell>
        </row>
        <row r="357">
          <cell r="B357" t="str">
            <v>SC35050100</v>
          </cell>
          <cell r="C357">
            <v>348</v>
          </cell>
          <cell r="D357" t="str">
            <v>Levantamento ou rebaixamento de tampao, calçada.</v>
          </cell>
          <cell r="E357" t="str">
            <v>un</v>
          </cell>
          <cell r="F357">
            <v>75.849999999999994</v>
          </cell>
          <cell r="G357">
            <v>121</v>
          </cell>
        </row>
        <row r="358">
          <cell r="B358" t="str">
            <v>SE20100253</v>
          </cell>
          <cell r="C358">
            <v>349</v>
          </cell>
          <cell r="D358" t="str">
            <v>Levantamento topografico planialtimetrico e cadastral.</v>
          </cell>
          <cell r="E358" t="str">
            <v>ha</v>
          </cell>
          <cell r="F358">
            <v>2252.4299999999998</v>
          </cell>
          <cell r="G358">
            <v>5.18</v>
          </cell>
        </row>
        <row r="359">
          <cell r="B359" t="str">
            <v>SE25900300</v>
          </cell>
          <cell r="C359">
            <v>350</v>
          </cell>
          <cell r="D359" t="str">
            <v>Servicos de elaboracao de projeto estrutural final de eng.</v>
          </cell>
          <cell r="E359" t="str">
            <v>m2</v>
          </cell>
          <cell r="F359">
            <v>37.130000000000003</v>
          </cell>
          <cell r="G359">
            <v>1149</v>
          </cell>
        </row>
        <row r="360">
          <cell r="B360" t="str">
            <v>ST45150100</v>
          </cell>
          <cell r="C360">
            <v>351</v>
          </cell>
          <cell r="D360" t="str">
            <v>Caixa com tampa de ferro leve 600L-900mm,CET-RIO.</v>
          </cell>
          <cell r="E360" t="str">
            <v xml:space="preserve">un  </v>
          </cell>
          <cell r="F360">
            <v>295.7</v>
          </cell>
          <cell r="G360">
            <v>41</v>
          </cell>
        </row>
        <row r="361">
          <cell r="B361" t="str">
            <v>TC05100050</v>
          </cell>
          <cell r="C361">
            <v>352</v>
          </cell>
          <cell r="D361" t="str">
            <v>Transporte horizontal material em carrinho de mao.</v>
          </cell>
          <cell r="E361" t="str">
            <v>t.dam</v>
          </cell>
          <cell r="F361">
            <v>1.19</v>
          </cell>
          <cell r="G361">
            <v>103434.34</v>
          </cell>
        </row>
        <row r="362">
          <cell r="B362" t="str">
            <v>TC10050350</v>
          </cell>
          <cell r="C362">
            <v>353</v>
          </cell>
          <cell r="D362" t="str">
            <v>Carga e descarga mecanica, com Pa-Carregadeira.</v>
          </cell>
          <cell r="E362" t="str">
            <v xml:space="preserve">t </v>
          </cell>
          <cell r="F362">
            <v>0.51</v>
          </cell>
          <cell r="G362">
            <v>43094.67</v>
          </cell>
        </row>
        <row r="363">
          <cell r="B363" t="str">
            <v>UNI</v>
          </cell>
          <cell r="C363" t="str">
            <v>N1</v>
          </cell>
          <cell r="D363" t="str">
            <v>Tampa light 80x80cm</v>
          </cell>
          <cell r="E363" t="str">
            <v>un</v>
          </cell>
          <cell r="F363">
            <v>259.04000000000002</v>
          </cell>
        </row>
        <row r="365">
          <cell r="B365" t="str">
            <v>ITENS FGV</v>
          </cell>
        </row>
        <row r="366">
          <cell r="B366" t="str">
            <v>BP10050653</v>
          </cell>
          <cell r="C366" t="str">
            <v>F1</v>
          </cell>
          <cell r="D366" t="str">
            <v>Revestimento de CBUQ, com 5cm de espessura.</v>
          </cell>
          <cell r="E366" t="str">
            <v>m2</v>
          </cell>
          <cell r="F366">
            <v>12.77</v>
          </cell>
        </row>
        <row r="367">
          <cell r="B367" t="str">
            <v>BP20200053</v>
          </cell>
          <cell r="C367" t="str">
            <v>F2</v>
          </cell>
          <cell r="D367" t="str">
            <v>Meio-fio de concreto pre-moldado altura de 0,45m.</v>
          </cell>
          <cell r="E367" t="str">
            <v>m</v>
          </cell>
          <cell r="F367">
            <v>21.71</v>
          </cell>
        </row>
        <row r="368">
          <cell r="B368" t="str">
            <v>CE05050050</v>
          </cell>
          <cell r="C368" t="str">
            <v>F3</v>
          </cell>
          <cell r="D368" t="str">
            <v>Prestacao de servicos de engenharia.</v>
          </cell>
          <cell r="E368" t="str">
            <v>hh</v>
          </cell>
          <cell r="F368">
            <v>39.4</v>
          </cell>
        </row>
        <row r="369">
          <cell r="B369" t="str">
            <v>DR30200050</v>
          </cell>
          <cell r="C369" t="str">
            <v>F4</v>
          </cell>
          <cell r="D369" t="str">
            <v>Caixa de inspecao de esgoto, 0,70m de profundidade.</v>
          </cell>
          <cell r="E369" t="str">
            <v>un</v>
          </cell>
          <cell r="F369">
            <v>245.86</v>
          </cell>
        </row>
        <row r="370">
          <cell r="B370" t="str">
            <v>EQ45050150</v>
          </cell>
          <cell r="C370" t="str">
            <v>F5</v>
          </cell>
          <cell r="D370" t="str">
            <v>Compressor de ar. Aluguel produtivo.</v>
          </cell>
          <cell r="E370" t="str">
            <v>h</v>
          </cell>
          <cell r="F370">
            <v>26.28</v>
          </cell>
        </row>
        <row r="371">
          <cell r="B371" t="str">
            <v>ET60050100</v>
          </cell>
          <cell r="C371" t="str">
            <v>F6</v>
          </cell>
          <cell r="D371" t="str">
            <v>Concreto usinado 40Mpa.</v>
          </cell>
          <cell r="E371" t="str">
            <v>m3</v>
          </cell>
          <cell r="F371">
            <v>274.33999999999997</v>
          </cell>
        </row>
        <row r="372">
          <cell r="B372" t="str">
            <v>IP05100400</v>
          </cell>
          <cell r="C372" t="str">
            <v>F7</v>
          </cell>
          <cell r="D372" t="str">
            <v>Poste Multi-Uso de aco, reto, cilindrico de 5,60m.</v>
          </cell>
          <cell r="E372" t="str">
            <v>par</v>
          </cell>
          <cell r="F372">
            <v>1366</v>
          </cell>
        </row>
        <row r="373">
          <cell r="B373" t="str">
            <v>IP05100850</v>
          </cell>
          <cell r="C373" t="str">
            <v>F8</v>
          </cell>
          <cell r="D373" t="str">
            <v>Poste Multi-Uso de aco, reto, cilindrico de 9,5m.</v>
          </cell>
          <cell r="E373" t="str">
            <v>un</v>
          </cell>
          <cell r="F373">
            <v>2656.14</v>
          </cell>
        </row>
        <row r="374">
          <cell r="B374" t="str">
            <v>IP05250150</v>
          </cell>
          <cell r="C374" t="str">
            <v>F9</v>
          </cell>
          <cell r="D374" t="str">
            <v>Poste de aco, reto, de 4,50m ate 6m. Assentamento.</v>
          </cell>
          <cell r="E374" t="str">
            <v>un</v>
          </cell>
          <cell r="F374">
            <v>53.59</v>
          </cell>
        </row>
        <row r="375">
          <cell r="B375" t="str">
            <v>IP05250200</v>
          </cell>
          <cell r="C375" t="str">
            <v>F10</v>
          </cell>
          <cell r="D375" t="str">
            <v>Poste de aco, reto, de 7m ate 12m. Assentamento.</v>
          </cell>
          <cell r="E375" t="str">
            <v>un</v>
          </cell>
          <cell r="F375">
            <v>108.83</v>
          </cell>
        </row>
        <row r="376">
          <cell r="B376" t="str">
            <v>IP05500050</v>
          </cell>
          <cell r="C376" t="str">
            <v>F11</v>
          </cell>
          <cell r="D376" t="str">
            <v>Braco para luminaria de 0,39m.</v>
          </cell>
          <cell r="E376" t="str">
            <v>par</v>
          </cell>
          <cell r="F376">
            <v>63</v>
          </cell>
        </row>
        <row r="377">
          <cell r="B377" t="str">
            <v>IP05500250</v>
          </cell>
          <cell r="C377" t="str">
            <v>F12</v>
          </cell>
          <cell r="D377" t="str">
            <v>Braco para luminaria de 1,35m.</v>
          </cell>
          <cell r="E377" t="str">
            <v>par</v>
          </cell>
          <cell r="F377">
            <v>115</v>
          </cell>
        </row>
        <row r="378">
          <cell r="B378" t="str">
            <v>IP05550050</v>
          </cell>
          <cell r="C378" t="str">
            <v>F13</v>
          </cell>
          <cell r="D378" t="str">
            <v>Braco, padrao RIOLUZ.  Colocacao.</v>
          </cell>
          <cell r="E378" t="str">
            <v>un</v>
          </cell>
          <cell r="F378">
            <v>9.76</v>
          </cell>
        </row>
        <row r="379">
          <cell r="B379" t="str">
            <v>IP05600050</v>
          </cell>
          <cell r="C379" t="str">
            <v>F14</v>
          </cell>
          <cell r="D379" t="str">
            <v>Pintura de braco com 2 demaos de tinta Aluminac.</v>
          </cell>
          <cell r="E379" t="str">
            <v>un</v>
          </cell>
          <cell r="F379">
            <v>12.29</v>
          </cell>
        </row>
        <row r="380">
          <cell r="B380" t="str">
            <v>IP05600103</v>
          </cell>
          <cell r="C380" t="str">
            <v>F15</v>
          </cell>
          <cell r="D380" t="str">
            <v>Pintura de poste de aco, reto, de 4,5m ate 6m.</v>
          </cell>
          <cell r="E380" t="str">
            <v>un</v>
          </cell>
          <cell r="F380">
            <v>14.73</v>
          </cell>
        </row>
        <row r="381">
          <cell r="B381" t="str">
            <v>IP05600109</v>
          </cell>
          <cell r="C381" t="str">
            <v>F16</v>
          </cell>
          <cell r="D381" t="str">
            <v>Pintura de poste de aco reto, de 10m ate 15m.</v>
          </cell>
          <cell r="E381" t="str">
            <v>un</v>
          </cell>
          <cell r="F381">
            <v>54.04</v>
          </cell>
        </row>
        <row r="382">
          <cell r="B382" t="str">
            <v>IP45050250</v>
          </cell>
          <cell r="C382" t="str">
            <v>F17</v>
          </cell>
          <cell r="D382" t="str">
            <v>Rele fotoeletrico, tipo NA, tensao de 127V, 1200VA.</v>
          </cell>
          <cell r="E382" t="str">
            <v>un</v>
          </cell>
          <cell r="F382">
            <v>11.85</v>
          </cell>
        </row>
        <row r="383">
          <cell r="B383" t="str">
            <v>IP50050059</v>
          </cell>
          <cell r="C383" t="str">
            <v>F18</v>
          </cell>
          <cell r="D383" t="str">
            <v>Luminaria LRJ-25 para lampada de 70W ovoide.</v>
          </cell>
          <cell r="E383" t="str">
            <v>un</v>
          </cell>
          <cell r="F383">
            <v>305.18</v>
          </cell>
        </row>
        <row r="384">
          <cell r="B384" t="str">
            <v>IP50050250</v>
          </cell>
          <cell r="C384" t="str">
            <v>F19</v>
          </cell>
          <cell r="D384" t="str">
            <v>Luminaria LRJ-24 para lampada de 250W tubular.</v>
          </cell>
          <cell r="E384" t="str">
            <v>un</v>
          </cell>
          <cell r="F384">
            <v>361.15</v>
          </cell>
        </row>
        <row r="385">
          <cell r="B385" t="str">
            <v>IP50200106</v>
          </cell>
          <cell r="C385" t="str">
            <v>F20</v>
          </cell>
          <cell r="D385" t="str">
            <v>Nucleo simples para luminarias LRJ-09/16/25.</v>
          </cell>
          <cell r="E385" t="str">
            <v>un</v>
          </cell>
          <cell r="F385">
            <v>40</v>
          </cell>
        </row>
        <row r="386">
          <cell r="B386" t="str">
            <v>IP50200150</v>
          </cell>
          <cell r="C386" t="str">
            <v>F21</v>
          </cell>
          <cell r="D386" t="str">
            <v>Nucleo duplo para luminarias LRJ-01/17/23/24/30/31.</v>
          </cell>
          <cell r="E386" t="str">
            <v>un</v>
          </cell>
          <cell r="F386">
            <v>67</v>
          </cell>
        </row>
        <row r="387">
          <cell r="B387" t="str">
            <v>IP50250421</v>
          </cell>
          <cell r="C387" t="str">
            <v>F22</v>
          </cell>
          <cell r="D387" t="str">
            <v>Lampada de multivapor metalica (MVM) de 250W.</v>
          </cell>
          <cell r="E387" t="str">
            <v>un</v>
          </cell>
          <cell r="F387">
            <v>83.9</v>
          </cell>
        </row>
        <row r="388">
          <cell r="B388" t="str">
            <v>IP50400103</v>
          </cell>
          <cell r="C388" t="str">
            <v>F23</v>
          </cell>
          <cell r="D388" t="str">
            <v>Luminaria fechada com lampada de descarga.</v>
          </cell>
          <cell r="E388" t="str">
            <v>un</v>
          </cell>
          <cell r="F388">
            <v>9.76</v>
          </cell>
        </row>
        <row r="389">
          <cell r="B389" t="str">
            <v>IT25100121</v>
          </cell>
          <cell r="C389" t="str">
            <v>F24</v>
          </cell>
          <cell r="D389" t="str">
            <v>Kanalex diametro de 125mm (5" ).</v>
          </cell>
          <cell r="E389" t="str">
            <v>m</v>
          </cell>
          <cell r="F389">
            <v>10.89</v>
          </cell>
        </row>
        <row r="390">
          <cell r="B390" t="str">
            <v>RV1595005</v>
          </cell>
          <cell r="C390" t="str">
            <v>F25</v>
          </cell>
          <cell r="D390" t="str">
            <v>Piso de alerta em placas marmorizadas, cor vermelha.</v>
          </cell>
          <cell r="E390" t="str">
            <v>m2</v>
          </cell>
          <cell r="F390">
            <v>55.17</v>
          </cell>
        </row>
        <row r="391">
          <cell r="B391" t="str">
            <v>SC05100350</v>
          </cell>
          <cell r="C391" t="str">
            <v>F26</v>
          </cell>
          <cell r="D391" t="str">
            <v>Demolicao com equipamento concreto asfaltico 5cm.</v>
          </cell>
          <cell r="E391" t="str">
            <v>m2</v>
          </cell>
          <cell r="F391">
            <v>5.0999999999999996</v>
          </cell>
        </row>
        <row r="392">
          <cell r="B392" t="str">
            <v>SC05100400</v>
          </cell>
          <cell r="C392" t="str">
            <v>F27</v>
          </cell>
          <cell r="D392" t="str">
            <v>Demolicao com equipamento concreto asfaltico 10cm.</v>
          </cell>
          <cell r="E392" t="str">
            <v>m2</v>
          </cell>
          <cell r="F392">
            <v>7.64</v>
          </cell>
        </row>
        <row r="393">
          <cell r="B393" t="str">
            <v>SC05100450</v>
          </cell>
          <cell r="C393" t="str">
            <v>F28</v>
          </cell>
          <cell r="D393" t="str">
            <v>Demolicao equipamento concreto asfaltico 5cm l=1,20m.</v>
          </cell>
          <cell r="E393" t="str">
            <v>m2</v>
          </cell>
          <cell r="F393">
            <v>5.99</v>
          </cell>
        </row>
        <row r="394">
          <cell r="B394" t="str">
            <v>SC10100100</v>
          </cell>
          <cell r="C394" t="str">
            <v>F29</v>
          </cell>
          <cell r="D394" t="str">
            <v>Operador de trafego, nivel junior.</v>
          </cell>
          <cell r="E394" t="str">
            <v>h</v>
          </cell>
          <cell r="F394">
            <v>10.1</v>
          </cell>
        </row>
        <row r="395">
          <cell r="B395" t="str">
            <v>ST05051050</v>
          </cell>
          <cell r="C395" t="str">
            <v>F30</v>
          </cell>
          <cell r="D395" t="str">
            <v>Sinalizacao horizontal aplicada por aspersao.</v>
          </cell>
          <cell r="E395" t="str">
            <v>m2</v>
          </cell>
          <cell r="F395">
            <v>20.149999999999999</v>
          </cell>
        </row>
        <row r="396">
          <cell r="B396" t="str">
            <v>ST10150350</v>
          </cell>
          <cell r="C396" t="str">
            <v>F31</v>
          </cell>
          <cell r="D396" t="str">
            <v>Conjunto semaforico principal.</v>
          </cell>
          <cell r="E396" t="str">
            <v>un</v>
          </cell>
          <cell r="F396">
            <v>4662</v>
          </cell>
        </row>
        <row r="397">
          <cell r="B397" t="str">
            <v>ST10150400</v>
          </cell>
          <cell r="C397" t="str">
            <v>F32</v>
          </cell>
          <cell r="D397" t="str">
            <v>Conjunto semaforico repetidor.</v>
          </cell>
          <cell r="E397" t="str">
            <v>un</v>
          </cell>
          <cell r="F397">
            <v>2243.85</v>
          </cell>
        </row>
        <row r="398">
          <cell r="B398" t="str">
            <v>ST20100050</v>
          </cell>
          <cell r="C398" t="str">
            <v>F33</v>
          </cell>
          <cell r="D398" t="str">
            <v>Aluguel mensal de radio transmissor-receptor.</v>
          </cell>
          <cell r="E398" t="str">
            <v>mes</v>
          </cell>
          <cell r="F398">
            <v>70</v>
          </cell>
        </row>
        <row r="399">
          <cell r="B399" t="str">
            <v>ST15050100</v>
          </cell>
          <cell r="C399" t="str">
            <v>F34</v>
          </cell>
          <cell r="D399" t="str">
            <v>Portico, coluna tubular, em aco galvanizado.</v>
          </cell>
          <cell r="E399" t="str">
            <v>un</v>
          </cell>
          <cell r="F399">
            <v>35622.78</v>
          </cell>
        </row>
        <row r="400">
          <cell r="B400" t="str">
            <v>TC10050050</v>
          </cell>
          <cell r="C400" t="str">
            <v>F35</v>
          </cell>
          <cell r="D400" t="str">
            <v>Carga e descarga manual de material.</v>
          </cell>
          <cell r="E400" t="str">
            <v>t</v>
          </cell>
          <cell r="F400">
            <v>20.36</v>
          </cell>
        </row>
        <row r="401">
          <cell r="B401" t="str">
            <v>DR10050053</v>
          </cell>
          <cell r="C401" t="str">
            <v>F36</v>
          </cell>
          <cell r="D401" t="str">
            <v>Tubo de ferro fundido, ductil, classe K-9,ø 100mm.</v>
          </cell>
          <cell r="E401" t="str">
            <v>m</v>
          </cell>
          <cell r="F401">
            <v>139.33000000000001</v>
          </cell>
        </row>
        <row r="402">
          <cell r="B402" t="str">
            <v>ST05051800</v>
          </cell>
          <cell r="C402" t="str">
            <v>F37</v>
          </cell>
          <cell r="D402" t="str">
            <v>Tachao bidirecional, conforme especificacao CET-RIO.  Fornecimento.</v>
          </cell>
          <cell r="E402" t="str">
            <v>un</v>
          </cell>
          <cell r="F402">
            <v>21.9</v>
          </cell>
        </row>
        <row r="403">
          <cell r="B403" t="str">
            <v>IP50050253</v>
          </cell>
          <cell r="C403" t="str">
            <v>F38</v>
          </cell>
          <cell r="D403" t="str">
            <v>Luminaria LRJ-33 para lampada vapor de sodio ou multivapor metalico de 250W, IP-66, vidro curvo, corpo em aluminio injetado, para encaixe em tubo com diametro de 60,3mm, com equipamento auxiliar integrado (EM-RIOLUZ no 30), refletor em chapa de aluminio 9</v>
          </cell>
          <cell r="E403" t="str">
            <v>un</v>
          </cell>
          <cell r="F403">
            <v>515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sheetName val="COMP - 01"/>
      <sheetName val="COMP - 02"/>
      <sheetName val="COMP - 03"/>
      <sheetName val="COMP - 04"/>
      <sheetName val="COMP - 05"/>
      <sheetName val="COMP - 06"/>
      <sheetName val="COMP - 07"/>
      <sheetName val="COMP - 08"/>
      <sheetName val="COMP - 09"/>
      <sheetName val="COMP - 10"/>
      <sheetName val="COMP - 11"/>
      <sheetName val="COMP - 12"/>
    </sheetNames>
    <sheetDataSet>
      <sheetData sheetId="0"/>
      <sheetData sheetId="1">
        <row r="8">
          <cell r="A8" t="str">
            <v>1.</v>
          </cell>
        </row>
      </sheetData>
      <sheetData sheetId="2">
        <row r="11">
          <cell r="B11" t="str">
            <v>COMP-01</v>
          </cell>
        </row>
      </sheetData>
      <sheetData sheetId="3">
        <row r="10">
          <cell r="B10" t="str">
            <v>COMP-02</v>
          </cell>
        </row>
      </sheetData>
      <sheetData sheetId="4">
        <row r="9">
          <cell r="B9" t="str">
            <v>COMP - 03</v>
          </cell>
        </row>
      </sheetData>
      <sheetData sheetId="5">
        <row r="10">
          <cell r="B10" t="str">
            <v>COMP-04</v>
          </cell>
        </row>
      </sheetData>
      <sheetData sheetId="6">
        <row r="10">
          <cell r="B10" t="str">
            <v>COMP-05</v>
          </cell>
        </row>
      </sheetData>
      <sheetData sheetId="7">
        <row r="9">
          <cell r="H9">
            <v>0.16669999999999999</v>
          </cell>
        </row>
      </sheetData>
      <sheetData sheetId="8">
        <row r="11">
          <cell r="B11" t="str">
            <v>COMP-07</v>
          </cell>
        </row>
      </sheetData>
      <sheetData sheetId="9">
        <row r="11">
          <cell r="B11" t="str">
            <v>COMP-08</v>
          </cell>
        </row>
      </sheetData>
      <sheetData sheetId="10">
        <row r="11">
          <cell r="B11" t="str">
            <v>COMP-09</v>
          </cell>
        </row>
      </sheetData>
      <sheetData sheetId="11">
        <row r="8">
          <cell r="B8" t="str">
            <v>COMP - 10</v>
          </cell>
        </row>
      </sheetData>
      <sheetData sheetId="12">
        <row r="8">
          <cell r="B8" t="str">
            <v>COMP - 11</v>
          </cell>
        </row>
      </sheetData>
      <sheetData sheetId="13">
        <row r="8">
          <cell r="B8" t="str">
            <v>COMP - 12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APA DE COTAÇÃO"/>
      <sheetName val="COMP-01"/>
      <sheetName val="COMP - 02"/>
      <sheetName val="COMP-03"/>
      <sheetName val="COMP - 04"/>
      <sheetName val="COMP-05"/>
      <sheetName val="COMP-06"/>
      <sheetName val="Plan1"/>
    </sheetNames>
    <sheetDataSet>
      <sheetData sheetId="0">
        <row r="9">
          <cell r="K9">
            <v>0.25</v>
          </cell>
        </row>
        <row r="10">
          <cell r="K10">
            <v>1.5388053582323386E-2</v>
          </cell>
        </row>
      </sheetData>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 val="COMP-12.1.3"/>
      <sheetName val="BDI"/>
    </sheetNames>
    <sheetDataSet>
      <sheetData sheetId="0">
        <row r="7">
          <cell r="K7">
            <v>0</v>
          </cell>
        </row>
      </sheetData>
      <sheetData sheetId="1" refreshError="1"/>
      <sheetData sheetId="2" refreshError="1"/>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ORIA"/>
      <sheetName val="CRONOGRAMA"/>
      <sheetName val="COMP - 01"/>
      <sheetName val="COMP - 02"/>
    </sheetNames>
    <sheetDataSet>
      <sheetData sheetId="0">
        <row r="7">
          <cell r="I7">
            <v>0.24260000000000001</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ORIA"/>
      <sheetName val="CRONOGRAMA"/>
      <sheetName val="COMP - 01"/>
      <sheetName val="COMP - 02"/>
    </sheetNames>
    <sheetDataSet>
      <sheetData sheetId="0">
        <row r="7">
          <cell r="I7">
            <v>0.24260000000000001</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
      <sheetName val="Croqui"/>
      <sheetName val="Comparativo"/>
      <sheetName val="Mat. Bet."/>
      <sheetName val="Calc.transporte"/>
      <sheetName val="Preço MBet."/>
      <sheetName val="TLCB5"/>
      <sheetName val="TLMR"/>
      <sheetName val="TLBM"/>
      <sheetName val="TCCC"/>
      <sheetName val="TLCB10"/>
      <sheetName val="TLCC4"/>
      <sheetName val="TCCB10"/>
      <sheetName val="Quadro res. transp."/>
      <sheetName val="CURVA ABC"/>
      <sheetName val="Orçamento"/>
      <sheetName val="Serviços"/>
      <sheetName val="Cronograma 1º"/>
      <sheetName val="Cronograma 2º"/>
      <sheetName val="Instalação"/>
      <sheetName val="Mobiliz."/>
      <sheetName val="Cpu Trans."/>
      <sheetName val="CAP-CM30"/>
      <sheetName val="Rotineira"/>
      <sheetName val="Veíc."/>
      <sheetName val="Serv.Aux."/>
      <sheetName val="Const. Dren."/>
      <sheetName val="Aux.Dren"/>
      <sheetName val="Serv. Adm."/>
      <sheetName val="CPUMat.Bet."/>
      <sheetName val="M Obra"/>
      <sheetName val="Equip."/>
      <sheetName val="Materiais"/>
      <sheetName val="DIVISÓRIAS"/>
      <sheetName val="Modelo"/>
    </sheetNames>
    <sheetDataSet>
      <sheetData sheetId="0" refreshError="1"/>
      <sheetData sheetId="1" refreshError="1"/>
      <sheetData sheetId="2" refreshError="1"/>
      <sheetData sheetId="3">
        <row r="22">
          <cell r="E22">
            <v>293.51</v>
          </cell>
        </row>
        <row r="24">
          <cell r="E24">
            <v>342.11</v>
          </cell>
        </row>
        <row r="25">
          <cell r="F25">
            <v>265.37</v>
          </cell>
        </row>
        <row r="27">
          <cell r="F27">
            <v>309.29000000000002</v>
          </cell>
        </row>
        <row r="28">
          <cell r="F28">
            <v>265.37</v>
          </cell>
        </row>
        <row r="29">
          <cell r="F29">
            <v>24.49</v>
          </cell>
        </row>
        <row r="30">
          <cell r="F30">
            <v>280.83</v>
          </cell>
        </row>
        <row r="31">
          <cell r="F31">
            <v>39.950000000000003</v>
          </cell>
        </row>
        <row r="33">
          <cell r="F33">
            <v>265.37</v>
          </cell>
        </row>
        <row r="34">
          <cell r="F34">
            <v>24.49</v>
          </cell>
        </row>
        <row r="36">
          <cell r="F36">
            <v>265.37</v>
          </cell>
        </row>
        <row r="37">
          <cell r="F37">
            <v>24.49</v>
          </cell>
        </row>
        <row r="39">
          <cell r="F39">
            <v>280.83</v>
          </cell>
        </row>
        <row r="40">
          <cell r="F40">
            <v>39.950000000000003</v>
          </cell>
        </row>
        <row r="42">
          <cell r="F42">
            <v>265.37</v>
          </cell>
        </row>
        <row r="43">
          <cell r="F43">
            <v>24.49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
      <sheetName val="Croqui"/>
      <sheetName val="Plan1"/>
      <sheetName val="Comparativo Bet."/>
      <sheetName val="Mat. Bet."/>
      <sheetName val="Calc.transporte"/>
      <sheetName val="Preço MBet."/>
      <sheetName val="TLCB5"/>
      <sheetName val="TLMR"/>
      <sheetName val="TLBM"/>
      <sheetName val="TCCC"/>
      <sheetName val="TLCB10"/>
      <sheetName val="TCCB10"/>
      <sheetName val="TLCC4"/>
      <sheetName val="Quadro res. transp."/>
      <sheetName val="CURVA ABC"/>
      <sheetName val="Orçamento"/>
      <sheetName val="Serviços"/>
      <sheetName val="Cronograma 1º"/>
      <sheetName val="Cronograma 2º"/>
      <sheetName val="Instalação"/>
      <sheetName val="Mobiliz."/>
      <sheetName val="Cpu Trans."/>
      <sheetName val="CAP-CM30"/>
      <sheetName val="Rotineira"/>
      <sheetName val="Veíc."/>
      <sheetName val="Serv.Aux."/>
      <sheetName val="Const. Dren."/>
      <sheetName val="Aux.Dren"/>
      <sheetName val="Serv. Adm."/>
      <sheetName val="Mat.Bet."/>
      <sheetName val="M Obra"/>
      <sheetName val="Equip."/>
      <sheetName val="Materiais"/>
      <sheetName val="DIVISÓRIAS"/>
      <sheetName val="Modelo"/>
      <sheetName val="insumos"/>
    </sheetNames>
    <sheetDataSet>
      <sheetData sheetId="0" refreshError="1"/>
      <sheetData sheetId="1" refreshError="1"/>
      <sheetData sheetId="2" refreshError="1">
        <row r="28">
          <cell r="G28">
            <v>1052.5144578313252</v>
          </cell>
        </row>
        <row r="35">
          <cell r="G35">
            <v>1178.6265060240964</v>
          </cell>
          <cell r="H35">
            <v>241.62</v>
          </cell>
        </row>
      </sheetData>
      <sheetData sheetId="3" refreshError="1"/>
      <sheetData sheetId="4" refreshError="1"/>
      <sheetData sheetId="5" refreshError="1"/>
      <sheetData sheetId="6" refreshError="1">
        <row r="6">
          <cell r="I6">
            <v>10.35</v>
          </cell>
        </row>
        <row r="11">
          <cell r="I11">
            <v>1.82</v>
          </cell>
          <cell r="K11">
            <v>0.47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57">
          <cell r="H57">
            <v>0.66</v>
          </cell>
        </row>
        <row r="457">
          <cell r="H457">
            <v>0.64</v>
          </cell>
        </row>
      </sheetData>
      <sheetData sheetId="23" refreshError="1"/>
      <sheetData sheetId="24" refreshError="1">
        <row r="57">
          <cell r="H57">
            <v>205.41338594265599</v>
          </cell>
        </row>
        <row r="3579">
          <cell r="H3579">
            <v>0.772051966921799</v>
          </cell>
        </row>
      </sheetData>
      <sheetData sheetId="25" refreshError="1"/>
      <sheetData sheetId="26" refreshError="1"/>
      <sheetData sheetId="27" refreshError="1">
        <row r="57">
          <cell r="H57">
            <v>46.36</v>
          </cell>
        </row>
        <row r="137">
          <cell r="H137">
            <v>63.46</v>
          </cell>
        </row>
        <row r="217">
          <cell r="H217">
            <v>32.07</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RONOGRAMA"/>
      <sheetName val="COMP - 01"/>
      <sheetName val="COMP - 02"/>
      <sheetName val="COMP - 03"/>
    </sheetNames>
    <sheetDataSet>
      <sheetData sheetId="0">
        <row r="6">
          <cell r="B6" t="str">
            <v xml:space="preserve">SUPERVISÃO TOPOGRAFICA </v>
          </cell>
        </row>
        <row r="8">
          <cell r="B8">
            <v>18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CHO"/>
      <sheetName val="DADOS GERAIS"/>
      <sheetName val="materiais"/>
      <sheetName val="composições"/>
      <sheetName val="DIAGRAMA"/>
      <sheetName val="INVEN. BR 262"/>
      <sheetName val="SERVIÇOS (MATRIZ)"/>
      <sheetName val="SERVIÇOS digitado"/>
      <sheetName val="ORÇAMENTO 01"/>
      <sheetName val="justificativa"/>
      <sheetName val="instalação"/>
      <sheetName val="mobilização"/>
      <sheetName val="Cronograma "/>
      <sheetName val="TCCB10"/>
      <sheetName val="TLCB5"/>
      <sheetName val="TLMR"/>
      <sheetName val="TCC4"/>
      <sheetName val="TLCB10"/>
      <sheetName val="Dados Edital"/>
      <sheetName val="calc. transporte IS 02_2011"/>
      <sheetName val="calc. transporte (2)"/>
      <sheetName val="CROQUI"/>
      <sheetName val="Q.R.DIST.TRANSP."/>
      <sheetName val="comparativo ANP"/>
      <sheetName val="comparativo mat"/>
      <sheetName val="D. CUST. M."/>
      <sheetName val="D.CONS.M"/>
      <sheetName val="DIVISÓRIAS"/>
      <sheetName val="MAT BET"/>
      <sheetName val="CURVA ABC"/>
      <sheetName val="Plan1"/>
      <sheetName val="ORÇAMENTO"/>
      <sheetName val="COMP-01"/>
      <sheetName val="COMP-"/>
      <sheetName val="COMP-02"/>
      <sheetName val="COMP-03"/>
      <sheetName val="COMP-04"/>
      <sheetName val="COMP-05"/>
      <sheetName val="Composicao Emp"/>
    </sheetNames>
    <sheetDataSet>
      <sheetData sheetId="0" refreshError="1">
        <row r="3">
          <cell r="E3" t="str">
            <v>BR-262/MS</v>
          </cell>
        </row>
        <row r="5">
          <cell r="E5" t="str">
            <v>Divisa SP/MS - Fronteira Brasil/Bolívia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row r="3">
          <cell r="E3">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TCB5"/>
      <sheetName val="TEB4"/>
      <sheetName val="TCC4"/>
      <sheetName val="TCB10"/>
      <sheetName val="COMP_ROLO"/>
      <sheetName val="ORÇAMENTO 01"/>
      <sheetName val="Teor"/>
      <sheetName val="Equipamentos"/>
      <sheetName val="IDENTIFICAÇÃO"/>
      <sheetName val="CAPA"/>
      <sheetName val="Serviços Rodoviários"/>
      <sheetName val="Calendário"/>
      <sheetName val="Mão de Obra"/>
      <sheetName val="Mão_de_Obra"/>
      <sheetName val="Mão_de_Obra1"/>
      <sheetName val="REM.MAN MAT.BET.REC(N) "/>
      <sheetName val="ROÇCOL"/>
      <sheetName val="MB"/>
      <sheetName val="CADASTRO"/>
    </sheetNames>
    <sheetDataSet>
      <sheetData sheetId="0" refreshError="1">
        <row r="12">
          <cell r="G12">
            <v>370</v>
          </cell>
        </row>
        <row r="59">
          <cell r="G59">
            <v>296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
      <sheetName val="Croqui"/>
      <sheetName val="Plan1"/>
      <sheetName val="Comparativo Bet."/>
      <sheetName val="Mat. Bet."/>
      <sheetName val="Calc.transporte"/>
      <sheetName val="Preço MBet."/>
      <sheetName val="TLCB5"/>
      <sheetName val="TLMR"/>
      <sheetName val="TLBM"/>
      <sheetName val="TCCC"/>
      <sheetName val="TLCB10"/>
      <sheetName val="TCCB10"/>
      <sheetName val="TLCC4"/>
      <sheetName val="Quadro res. transp."/>
      <sheetName val="CURVA ABC"/>
      <sheetName val="Orçamento"/>
      <sheetName val="Serviços"/>
      <sheetName val="Cronograma 1º"/>
      <sheetName val="Cronograma 2º"/>
      <sheetName val="Instalação"/>
      <sheetName val="Mobiliz."/>
      <sheetName val="Cpu Trans."/>
      <sheetName val="CAP-CM30"/>
      <sheetName val="Rotineira"/>
      <sheetName val="Veíc."/>
      <sheetName val="Serv.Aux."/>
      <sheetName val="Const. Dren."/>
      <sheetName val="Aux.Dren"/>
      <sheetName val="Serv. Adm."/>
      <sheetName val="CPUMat.Bet."/>
      <sheetName val="M Obra"/>
      <sheetName val="Equip."/>
      <sheetName val="Materiais"/>
      <sheetName val="DIVISÓRIAS"/>
      <sheetName val="Modelo"/>
      <sheetName val="READEQUAÇÃO"/>
      <sheetName val="COMP-02"/>
      <sheetName val="COMP-03"/>
      <sheetName val="COMP-04"/>
      <sheetName val="COMP-05"/>
      <sheetName val="MAPACOTREGRESSÃO"/>
      <sheetName val="Comp 01"/>
      <sheetName val="Comp 02"/>
    </sheetNames>
    <sheetDataSet>
      <sheetData sheetId="0"/>
      <sheetData sheetId="1"/>
      <sheetData sheetId="2"/>
      <sheetData sheetId="3"/>
      <sheetData sheetId="4">
        <row r="23">
          <cell r="E23">
            <v>327.97</v>
          </cell>
        </row>
        <row r="26">
          <cell r="F26">
            <v>296.27</v>
          </cell>
        </row>
        <row r="30">
          <cell r="F30">
            <v>38.79</v>
          </cell>
        </row>
        <row r="37">
          <cell r="F37">
            <v>224.16</v>
          </cell>
        </row>
      </sheetData>
      <sheetData sheetId="5">
        <row r="23">
          <cell r="E23">
            <v>0</v>
          </cell>
        </row>
      </sheetData>
      <sheetData sheetId="6"/>
      <sheetData sheetId="7"/>
      <sheetData sheetId="8"/>
      <sheetData sheetId="9"/>
      <sheetData sheetId="10"/>
      <sheetData sheetId="11"/>
      <sheetData sheetId="12">
        <row r="23">
          <cell r="E23">
            <v>327.97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3">
          <cell r="E23">
            <v>0</v>
          </cell>
        </row>
      </sheetData>
      <sheetData sheetId="42"/>
      <sheetData sheetId="4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GERAIS"/>
      <sheetName val="DADOS PARA PASTAS"/>
      <sheetName val="materiais"/>
      <sheetName val="composições"/>
      <sheetName val="SERVIÇOS"/>
      <sheetName val="ORÇAMENTO 01"/>
      <sheetName val="justificativa"/>
      <sheetName val="instalação"/>
      <sheetName val="mobilização"/>
      <sheetName val="Cronograma "/>
      <sheetName val="TCCB10"/>
      <sheetName val="TLCB5"/>
      <sheetName val="TLMR"/>
      <sheetName val="TCC4"/>
      <sheetName val="TLMB"/>
      <sheetName val="TLCB10"/>
      <sheetName val="Dados Edital"/>
      <sheetName val="calc. transporte"/>
      <sheetName val="INVEN."/>
      <sheetName val="CROQUI"/>
      <sheetName val="Q.R.DIST.TRANSP."/>
      <sheetName val="D. CUST. M."/>
      <sheetName val="D.CONS.M"/>
      <sheetName val="DIVISÓRIAS"/>
      <sheetName val="ORÇAMENTO"/>
      <sheetName val="COMP-01"/>
      <sheetName val="COMP-"/>
      <sheetName val="COMP-02"/>
      <sheetName val="COMP-03"/>
      <sheetName val="COMP-04"/>
      <sheetName val="COMP-05"/>
      <sheetName val="Composicao 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5">
          <cell r="I25">
            <v>16305.401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5">
          <cell r="I25">
            <v>22.52</v>
          </cell>
        </row>
      </sheetData>
      <sheetData sheetId="25"/>
      <sheetData sheetId="26"/>
      <sheetData sheetId="27"/>
      <sheetData sheetId="28"/>
      <sheetData sheetId="29"/>
      <sheetData sheetId="30"/>
      <sheetData sheetId="3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COTAÇÃO"/>
      <sheetName val="Teste de exequibilidade de pesq"/>
    </sheetNames>
    <definedNames>
      <definedName name="novo_mapa"/>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
      <sheetName val="Croqui"/>
      <sheetName val="Comparativo"/>
      <sheetName val="Mat. Bet."/>
      <sheetName val="Calc.transporte"/>
      <sheetName val="Preço MBet."/>
      <sheetName val="TLCB5"/>
      <sheetName val="TLMR"/>
      <sheetName val="TLBM"/>
      <sheetName val="TCCC"/>
      <sheetName val="TLCB10"/>
      <sheetName val="TLCC4"/>
      <sheetName val="TCCB10"/>
      <sheetName val="Quadro res. transp."/>
      <sheetName val="CURVA ABC"/>
      <sheetName val="Orçamento"/>
      <sheetName val="Serviços"/>
      <sheetName val="Cronograma 1º"/>
      <sheetName val="Cronograma 2º"/>
      <sheetName val="Instalação"/>
      <sheetName val="Mobiliz."/>
      <sheetName val="Cpu Trans."/>
      <sheetName val="CAP-CM30"/>
      <sheetName val="Rotineira"/>
      <sheetName val="Veíc."/>
      <sheetName val="Serv.Aux."/>
      <sheetName val="Const. Dren."/>
      <sheetName val="Aux.Dren"/>
      <sheetName val="Serv. Adm."/>
      <sheetName val="CPUMat.Bet."/>
      <sheetName val="M Obra"/>
      <sheetName val="Equip."/>
      <sheetName val="Materiais"/>
      <sheetName val="DIVISÓRIAS"/>
      <sheetName val="Modelo"/>
    </sheetNames>
    <sheetDataSet>
      <sheetData sheetId="0">
        <row r="20">
          <cell r="G20">
            <v>58.8</v>
          </cell>
        </row>
        <row r="21">
          <cell r="G21">
            <v>15.1</v>
          </cell>
        </row>
        <row r="22">
          <cell r="G22">
            <v>15.1</v>
          </cell>
        </row>
        <row r="23">
          <cell r="G23">
            <v>15.1</v>
          </cell>
        </row>
        <row r="24">
          <cell r="G24">
            <v>15.1</v>
          </cell>
        </row>
        <row r="30">
          <cell r="E30">
            <v>39569</v>
          </cell>
        </row>
        <row r="31">
          <cell r="E31">
            <v>39660</v>
          </cell>
        </row>
        <row r="33">
          <cell r="E33">
            <v>360.48</v>
          </cell>
        </row>
        <row r="43">
          <cell r="A43" t="str">
            <v>VIDE DADOS DO TRECHO</v>
          </cell>
        </row>
      </sheetData>
      <sheetData sheetId="1"/>
      <sheetData sheetId="2">
        <row r="26">
          <cell r="G26">
            <v>1052.5144578313252</v>
          </cell>
          <cell r="H26">
            <v>293.51</v>
          </cell>
        </row>
        <row r="27">
          <cell r="G27">
            <v>1698.2891566265059</v>
          </cell>
          <cell r="H27">
            <v>265.37</v>
          </cell>
        </row>
        <row r="28">
          <cell r="G28">
            <v>852.00963855421685</v>
          </cell>
          <cell r="H28">
            <v>265.37</v>
          </cell>
        </row>
        <row r="29">
          <cell r="G29">
            <v>1130.3156626506022</v>
          </cell>
          <cell r="H29">
            <v>280.83</v>
          </cell>
        </row>
        <row r="32">
          <cell r="G32">
            <v>1530</v>
          </cell>
          <cell r="H32">
            <v>39.950000000000003</v>
          </cell>
        </row>
      </sheetData>
      <sheetData sheetId="3"/>
      <sheetData sheetId="4"/>
      <sheetData sheetId="5">
        <row r="5">
          <cell r="I5">
            <v>10.58</v>
          </cell>
          <cell r="K5">
            <v>4.01</v>
          </cell>
        </row>
        <row r="6">
          <cell r="I6">
            <v>10.35</v>
          </cell>
          <cell r="K6">
            <v>1.97</v>
          </cell>
        </row>
        <row r="7">
          <cell r="I7">
            <v>0.39</v>
          </cell>
          <cell r="K7">
            <v>0.15</v>
          </cell>
        </row>
        <row r="8">
          <cell r="I8">
            <v>10.58</v>
          </cell>
          <cell r="K8">
            <v>4.01</v>
          </cell>
        </row>
        <row r="10">
          <cell r="I10">
            <v>188.82</v>
          </cell>
          <cell r="K10">
            <v>64.069999999999993</v>
          </cell>
        </row>
        <row r="12">
          <cell r="I12">
            <v>5.0999999999999996</v>
          </cell>
          <cell r="K12">
            <v>0.14000000000000001</v>
          </cell>
        </row>
        <row r="13">
          <cell r="I13">
            <v>0.98</v>
          </cell>
          <cell r="K13">
            <v>0.37</v>
          </cell>
        </row>
      </sheetData>
      <sheetData sheetId="6">
        <row r="24">
          <cell r="I24">
            <v>122194.66320000001</v>
          </cell>
        </row>
      </sheetData>
      <sheetData sheetId="7">
        <row r="22">
          <cell r="I22">
            <v>82140.130999999994</v>
          </cell>
        </row>
      </sheetData>
      <sheetData sheetId="8"/>
      <sheetData sheetId="9">
        <row r="31">
          <cell r="I31">
            <v>5615.3190000000004</v>
          </cell>
        </row>
      </sheetData>
      <sheetData sheetId="10"/>
      <sheetData sheetId="11">
        <row r="27">
          <cell r="I27">
            <v>10250.674560000001</v>
          </cell>
        </row>
      </sheetData>
      <sheetData sheetId="12">
        <row r="27">
          <cell r="I27">
            <v>371372.78499999997</v>
          </cell>
        </row>
      </sheetData>
      <sheetData sheetId="13"/>
      <sheetData sheetId="14"/>
      <sheetData sheetId="15"/>
      <sheetData sheetId="16">
        <row r="11">
          <cell r="G11">
            <v>185700</v>
          </cell>
        </row>
        <row r="12">
          <cell r="G12">
            <v>158.464</v>
          </cell>
        </row>
        <row r="13">
          <cell r="G13">
            <v>237.696</v>
          </cell>
        </row>
        <row r="15">
          <cell r="G15">
            <v>148.56</v>
          </cell>
        </row>
        <row r="16">
          <cell r="G16">
            <v>594.24</v>
          </cell>
        </row>
        <row r="17">
          <cell r="G17">
            <v>450</v>
          </cell>
        </row>
        <row r="18">
          <cell r="G18">
            <v>170</v>
          </cell>
        </row>
        <row r="19">
          <cell r="G19">
            <v>1890</v>
          </cell>
        </row>
        <row r="20">
          <cell r="G20">
            <v>420</v>
          </cell>
        </row>
        <row r="21">
          <cell r="G21">
            <v>1285</v>
          </cell>
        </row>
        <row r="22">
          <cell r="G22">
            <v>74.28</v>
          </cell>
        </row>
        <row r="23">
          <cell r="G23">
            <v>74.28</v>
          </cell>
        </row>
        <row r="24">
          <cell r="G24">
            <v>247.6</v>
          </cell>
        </row>
        <row r="25">
          <cell r="G25">
            <v>247.6</v>
          </cell>
        </row>
        <row r="27">
          <cell r="G27">
            <v>185.7</v>
          </cell>
        </row>
        <row r="28">
          <cell r="G28">
            <v>309.5</v>
          </cell>
        </row>
        <row r="31">
          <cell r="G31">
            <v>1280</v>
          </cell>
        </row>
        <row r="32">
          <cell r="G32">
            <v>28</v>
          </cell>
        </row>
        <row r="36">
          <cell r="G36">
            <v>500</v>
          </cell>
        </row>
        <row r="37">
          <cell r="G37">
            <v>375</v>
          </cell>
        </row>
        <row r="38">
          <cell r="G38">
            <v>1000</v>
          </cell>
        </row>
        <row r="39">
          <cell r="G39">
            <v>250</v>
          </cell>
        </row>
        <row r="40">
          <cell r="G40">
            <v>60000</v>
          </cell>
        </row>
        <row r="41">
          <cell r="G41">
            <v>100</v>
          </cell>
        </row>
        <row r="42">
          <cell r="G42">
            <v>247.6</v>
          </cell>
        </row>
        <row r="43">
          <cell r="G43">
            <v>433.3</v>
          </cell>
        </row>
        <row r="44">
          <cell r="G44">
            <v>123.8</v>
          </cell>
        </row>
        <row r="45">
          <cell r="G45">
            <v>185.7</v>
          </cell>
        </row>
        <row r="46">
          <cell r="G46">
            <v>185.7</v>
          </cell>
        </row>
        <row r="47">
          <cell r="G47">
            <v>60000</v>
          </cell>
        </row>
        <row r="48">
          <cell r="G48">
            <v>198080</v>
          </cell>
        </row>
        <row r="49">
          <cell r="G49">
            <v>200</v>
          </cell>
        </row>
        <row r="50">
          <cell r="G50">
            <v>6565.0659999999998</v>
          </cell>
        </row>
        <row r="51">
          <cell r="G51">
            <v>70</v>
          </cell>
        </row>
        <row r="52">
          <cell r="G52">
            <v>70</v>
          </cell>
        </row>
        <row r="53">
          <cell r="G53">
            <v>192000</v>
          </cell>
        </row>
        <row r="54">
          <cell r="G54">
            <v>122194.66320000001</v>
          </cell>
        </row>
        <row r="55">
          <cell r="G55">
            <v>82140.130999999994</v>
          </cell>
        </row>
        <row r="56">
          <cell r="G56">
            <v>10250.674560000001</v>
          </cell>
        </row>
        <row r="58">
          <cell r="G58">
            <v>371372.78499999997</v>
          </cell>
        </row>
        <row r="59">
          <cell r="G59">
            <v>12</v>
          </cell>
        </row>
        <row r="60">
          <cell r="G60">
            <v>192</v>
          </cell>
        </row>
        <row r="61">
          <cell r="G61">
            <v>960</v>
          </cell>
        </row>
        <row r="62">
          <cell r="G62">
            <v>60</v>
          </cell>
        </row>
        <row r="63">
          <cell r="G63">
            <v>120</v>
          </cell>
        </row>
        <row r="64">
          <cell r="G64">
            <v>160</v>
          </cell>
        </row>
      </sheetData>
      <sheetData sheetId="17"/>
      <sheetData sheetId="18"/>
      <sheetData sheetId="19">
        <row r="32">
          <cell r="O32">
            <v>174</v>
          </cell>
        </row>
        <row r="34">
          <cell r="T34">
            <v>75016.62000000001</v>
          </cell>
        </row>
      </sheetData>
      <sheetData sheetId="20">
        <row r="49">
          <cell r="I49">
            <v>2736.18</v>
          </cell>
        </row>
      </sheetData>
      <sheetData sheetId="21">
        <row r="57">
          <cell r="H57">
            <v>0.62</v>
          </cell>
        </row>
        <row r="137">
          <cell r="H137">
            <v>0.96</v>
          </cell>
        </row>
        <row r="217">
          <cell r="H217">
            <v>0.89</v>
          </cell>
        </row>
        <row r="297">
          <cell r="H297">
            <v>0.36</v>
          </cell>
        </row>
        <row r="537">
          <cell r="H537">
            <v>0.35</v>
          </cell>
        </row>
      </sheetData>
      <sheetData sheetId="22"/>
      <sheetData sheetId="23">
        <row r="137">
          <cell r="H137">
            <v>54.22</v>
          </cell>
        </row>
        <row r="217">
          <cell r="H217">
            <v>0.21</v>
          </cell>
        </row>
        <row r="377">
          <cell r="H377">
            <v>28.49</v>
          </cell>
        </row>
        <row r="457">
          <cell r="H457">
            <v>127.2</v>
          </cell>
        </row>
        <row r="537">
          <cell r="H537">
            <v>230.5</v>
          </cell>
        </row>
        <row r="617">
          <cell r="H617">
            <v>6.65</v>
          </cell>
        </row>
        <row r="697">
          <cell r="H697">
            <v>48.78</v>
          </cell>
        </row>
        <row r="777">
          <cell r="H777">
            <v>4.16</v>
          </cell>
        </row>
        <row r="857">
          <cell r="H857">
            <v>33.92</v>
          </cell>
        </row>
        <row r="937">
          <cell r="H937">
            <v>118.4</v>
          </cell>
        </row>
        <row r="1017">
          <cell r="H1017">
            <v>76.08</v>
          </cell>
        </row>
        <row r="1097">
          <cell r="H1097">
            <v>5.52</v>
          </cell>
        </row>
        <row r="1177">
          <cell r="H1177">
            <v>5.79</v>
          </cell>
        </row>
        <row r="1257">
          <cell r="H1257">
            <v>220.11</v>
          </cell>
        </row>
        <row r="1337">
          <cell r="H1337">
            <v>150.33000000000001</v>
          </cell>
        </row>
        <row r="1497">
          <cell r="H1497">
            <v>96.09</v>
          </cell>
        </row>
        <row r="1577">
          <cell r="H1577">
            <v>0.38249016611520004</v>
          </cell>
        </row>
        <row r="1897">
          <cell r="H1897">
            <v>12.49</v>
          </cell>
        </row>
        <row r="1977">
          <cell r="H1977">
            <v>36.454502522879999</v>
          </cell>
        </row>
        <row r="2057">
          <cell r="H2057">
            <v>1.54</v>
          </cell>
        </row>
        <row r="2137">
          <cell r="H2137">
            <v>4.87</v>
          </cell>
        </row>
        <row r="2217">
          <cell r="H2217">
            <v>20.63</v>
          </cell>
        </row>
        <row r="2297">
          <cell r="H2297">
            <v>1.54</v>
          </cell>
        </row>
        <row r="2377">
          <cell r="H2377">
            <v>30.89</v>
          </cell>
        </row>
        <row r="2457">
          <cell r="H2457">
            <v>1040.82</v>
          </cell>
        </row>
        <row r="2617">
          <cell r="H2617">
            <v>241.96</v>
          </cell>
        </row>
        <row r="2697">
          <cell r="H2697">
            <v>0.09</v>
          </cell>
        </row>
        <row r="2777">
          <cell r="H2777">
            <v>0.42</v>
          </cell>
        </row>
        <row r="2857">
          <cell r="H2857">
            <v>17.87</v>
          </cell>
        </row>
        <row r="3017">
          <cell r="H3017">
            <v>30.140251753514203</v>
          </cell>
        </row>
        <row r="3257">
          <cell r="H3257">
            <v>14.65</v>
          </cell>
        </row>
        <row r="3337">
          <cell r="H3337">
            <v>79.31</v>
          </cell>
        </row>
        <row r="3417">
          <cell r="H3417">
            <v>20.14</v>
          </cell>
        </row>
        <row r="3497">
          <cell r="H3497">
            <v>184.93</v>
          </cell>
        </row>
        <row r="3661">
          <cell r="H3661">
            <v>3.57</v>
          </cell>
        </row>
        <row r="3741">
          <cell r="H3741">
            <v>28.16</v>
          </cell>
        </row>
        <row r="3821">
          <cell r="H3821">
            <v>70.400000000000006</v>
          </cell>
        </row>
      </sheetData>
      <sheetData sheetId="24">
        <row r="57">
          <cell r="H57">
            <v>4140.3999999999996</v>
          </cell>
        </row>
        <row r="137">
          <cell r="H137">
            <v>0.49</v>
          </cell>
        </row>
      </sheetData>
      <sheetData sheetId="25">
        <row r="777">
          <cell r="H777">
            <v>7.3051125152786121</v>
          </cell>
        </row>
      </sheetData>
      <sheetData sheetId="26"/>
      <sheetData sheetId="27"/>
      <sheetData sheetId="28">
        <row r="57">
          <cell r="H57">
            <v>8.68</v>
          </cell>
        </row>
        <row r="137">
          <cell r="H137">
            <v>16.850000000000001</v>
          </cell>
        </row>
        <row r="217">
          <cell r="H217">
            <v>20.53</v>
          </cell>
        </row>
        <row r="297">
          <cell r="H297">
            <v>104.65</v>
          </cell>
        </row>
        <row r="377">
          <cell r="H377">
            <v>80.5</v>
          </cell>
        </row>
        <row r="457">
          <cell r="H457">
            <v>431.13</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TREVOS"/>
      <sheetName val="CROQUIS"/>
      <sheetName val="MB"/>
      <sheetName val="AQ TR MB"/>
      <sheetName val="MOBIL-CANT"/>
      <sheetName val="MAT PLACA"/>
      <sheetName val="SERVIÇOS"/>
      <sheetName val="ORÇAMENTO"/>
      <sheetName val="TLCB5"/>
      <sheetName val="TLMR"/>
      <sheetName val="TLCC4"/>
      <sheetName val="TLMB"/>
      <sheetName val="TCCB10"/>
      <sheetName val="CRONOGAMA 1º"/>
      <sheetName val="CRONOGAMA 2º"/>
      <sheetName val="COMPAUTO"/>
      <sheetName val="COMPSERVENC"/>
      <sheetName val="COMPMOTSER"/>
      <sheetName val="COMPOSIÇÕES2 (2)"/>
      <sheetName val="COMP-01"/>
      <sheetName val="COMP-"/>
      <sheetName val="COMP-02"/>
      <sheetName val="COMP-03"/>
      <sheetName val="COMP-04"/>
      <sheetName val="COMP-05"/>
      <sheetName val="Composicao Emp"/>
    </sheetNames>
    <sheetDataSet>
      <sheetData sheetId="0" refreshError="1">
        <row r="1">
          <cell r="B1" t="str">
            <v>JAN/2007</v>
          </cell>
        </row>
        <row r="9">
          <cell r="B9" t="str">
            <v>Campo Grande/MS</v>
          </cell>
        </row>
        <row r="27">
          <cell r="B27">
            <v>150.6</v>
          </cell>
        </row>
      </sheetData>
      <sheetData sheetId="1" refreshError="1"/>
      <sheetData sheetId="2" refreshError="1"/>
      <sheetData sheetId="3" refreshError="1"/>
      <sheetData sheetId="4" refreshError="1">
        <row r="5">
          <cell r="I5">
            <v>28.64</v>
          </cell>
          <cell r="K5">
            <v>5.0599999999999996</v>
          </cell>
        </row>
        <row r="10">
          <cell r="I10">
            <v>2.09</v>
          </cell>
          <cell r="K10">
            <v>7.0000000000000007E-2</v>
          </cell>
        </row>
        <row r="11">
          <cell r="I11">
            <v>2.92</v>
          </cell>
          <cell r="K11">
            <v>0.1</v>
          </cell>
        </row>
        <row r="12">
          <cell r="I12">
            <v>6.27</v>
          </cell>
          <cell r="K12">
            <v>0.22</v>
          </cell>
        </row>
        <row r="13">
          <cell r="I13">
            <v>277.42</v>
          </cell>
          <cell r="K13">
            <v>93.68</v>
          </cell>
        </row>
        <row r="15">
          <cell r="I15">
            <v>1.66</v>
          </cell>
          <cell r="K15">
            <v>0.56000000000000005</v>
          </cell>
        </row>
      </sheetData>
      <sheetData sheetId="5" refreshError="1">
        <row r="45">
          <cell r="I45">
            <v>18936.36</v>
          </cell>
        </row>
        <row r="73">
          <cell r="I73">
            <v>66156.88</v>
          </cell>
        </row>
      </sheetData>
      <sheetData sheetId="6" refreshError="1">
        <row r="3">
          <cell r="E3">
            <v>0.14000000000000001</v>
          </cell>
        </row>
        <row r="4">
          <cell r="E4">
            <v>0.68</v>
          </cell>
        </row>
        <row r="5">
          <cell r="E5">
            <v>121.42</v>
          </cell>
        </row>
        <row r="6">
          <cell r="E6">
            <v>2.4700000000000002</v>
          </cell>
        </row>
        <row r="7">
          <cell r="E7">
            <v>1.48</v>
          </cell>
        </row>
        <row r="8">
          <cell r="E8">
            <v>13.96</v>
          </cell>
        </row>
        <row r="9">
          <cell r="E9">
            <v>74.34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8">
          <cell r="H38">
            <v>3353.13</v>
          </cell>
        </row>
      </sheetData>
      <sheetData sheetId="17" refreshError="1">
        <row r="38">
          <cell r="H38">
            <v>7.58</v>
          </cell>
        </row>
        <row r="76">
          <cell r="H76">
            <v>14.72</v>
          </cell>
        </row>
      </sheetData>
      <sheetData sheetId="18" refreshError="1">
        <row r="38">
          <cell r="H38">
            <v>17.8</v>
          </cell>
        </row>
        <row r="76">
          <cell r="H76">
            <v>109.29</v>
          </cell>
        </row>
      </sheetData>
      <sheetData sheetId="19" refreshError="1"/>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sheetName val="CRONOGRAMA"/>
      <sheetName val="BDI"/>
      <sheetName val="COMP-14"/>
      <sheetName val="COMP-13"/>
      <sheetName val="COMP - 01"/>
      <sheetName val="COMP - 02"/>
      <sheetName val="COMP - 03"/>
      <sheetName val="COMP - 04"/>
      <sheetName val="COMP-05"/>
      <sheetName val="COMP-06"/>
      <sheetName val="COMP-07"/>
      <sheetName val="COMP-08"/>
      <sheetName val="COMP-09"/>
      <sheetName val="COMP-10"/>
      <sheetName val="COMP-11"/>
      <sheetName val="COMP-12"/>
    </sheetNames>
    <sheetDataSet>
      <sheetData sheetId="0">
        <row r="8">
          <cell r="I8">
            <v>0.26240000000000002</v>
          </cell>
        </row>
      </sheetData>
      <sheetData sheetId="1" refreshError="1"/>
      <sheetData sheetId="2" refreshError="1"/>
      <sheetData sheetId="3">
        <row r="7">
          <cell r="F7">
            <v>0.04</v>
          </cell>
        </row>
        <row r="8">
          <cell r="F8">
            <v>8.0000000000000002E-3</v>
          </cell>
        </row>
        <row r="9">
          <cell r="F9">
            <v>1.2699999999999999E-2</v>
          </cell>
        </row>
        <row r="10">
          <cell r="F10">
            <v>1.23E-2</v>
          </cell>
        </row>
        <row r="11">
          <cell r="F11">
            <v>7.3999999999999996E-2</v>
          </cell>
        </row>
        <row r="12">
          <cell r="F12">
            <v>8.6500000000000007E-2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ITENS PRIORITA"/>
      <sheetName val="MAPA DE COTAÇÃO"/>
      <sheetName val="CRONOGRAMA"/>
      <sheetName val="COMP - 01 "/>
      <sheetName val="COMP - 02  "/>
      <sheetName val="BDI - MATERIAIS"/>
      <sheetName val="BDI - EDIFICAÇÃO"/>
    </sheetNames>
    <sheetDataSet>
      <sheetData sheetId="0">
        <row r="6">
          <cell r="B6" t="str">
            <v>REGIÃO CAMPO GRANDE - MS</v>
          </cell>
          <cell r="I6">
            <v>0.26240000000000002</v>
          </cell>
        </row>
      </sheetData>
      <sheetData sheetId="1" refreshError="1"/>
      <sheetData sheetId="2"/>
      <sheetData sheetId="3" refreshError="1"/>
      <sheetData sheetId="4" refreshError="1"/>
      <sheetData sheetId="5" refreshError="1"/>
      <sheetData sheetId="6">
        <row r="8">
          <cell r="F8">
            <v>3.4500000000000003E-2</v>
          </cell>
        </row>
        <row r="9">
          <cell r="F9">
            <v>4.7999999999999996E-3</v>
          </cell>
        </row>
        <row r="10">
          <cell r="F10">
            <v>8.5000000000000006E-3</v>
          </cell>
        </row>
        <row r="11">
          <cell r="F11">
            <v>8.5000000000000006E-3</v>
          </cell>
        </row>
        <row r="12">
          <cell r="F12">
            <v>5.11E-2</v>
          </cell>
        </row>
        <row r="13">
          <cell r="F13">
            <v>5.6499999999999995E-2</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NS_PRIORI"/>
      <sheetName val="ORÇAMENTO"/>
      <sheetName val="CRONOGRAMA"/>
      <sheetName val="COMP - 01"/>
      <sheetName val="COMP - 02"/>
      <sheetName val="COMP - 03"/>
      <sheetName val="COMP - 04"/>
      <sheetName val="COMP - 05"/>
      <sheetName val="COMP - 06"/>
    </sheetNames>
    <sheetDataSet>
      <sheetData sheetId="0"/>
      <sheetData sheetId="1">
        <row r="7">
          <cell r="A7" t="str">
            <v>BAIRRO:</v>
          </cell>
          <cell r="K7">
            <v>0.28179999999999999</v>
          </cell>
        </row>
      </sheetData>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XO"/>
      <sheetName val="ORÇAMENTO IMP"/>
      <sheetName val="CRONOGRAMA"/>
      <sheetName val="MEMORIA IMP"/>
      <sheetName val="MAPA DE COTAÇÃO"/>
      <sheetName val="COMP-01"/>
      <sheetName val="COMP - 02"/>
      <sheetName val="ORÇAMENTO"/>
    </sheetNames>
    <sheetDataSet>
      <sheetData sheetId="0">
        <row r="8">
          <cell r="J8">
            <v>0.2092</v>
          </cell>
        </row>
      </sheetData>
      <sheetData sheetId="1" refreshError="1"/>
      <sheetData sheetId="2" refreshError="1"/>
      <sheetData sheetId="3" refreshError="1"/>
      <sheetData sheetId="4" refreshError="1"/>
      <sheetData sheetId="5">
        <row r="8">
          <cell r="J8">
            <v>0.2092</v>
          </cell>
        </row>
      </sheetData>
      <sheetData sheetId="6" refreshError="1"/>
      <sheetData sheetId="7"/>
    </sheetDataSet>
  </externalBook>
</externalLink>
</file>

<file path=xl/tables/table1.xml><?xml version="1.0" encoding="utf-8"?>
<table xmlns="http://schemas.openxmlformats.org/spreadsheetml/2006/main" id="70" name="Tabela411" displayName="Tabela411" ref="B24:J27" totalsRowShown="0" headerRowDxfId="137" dataDxfId="136">
  <autoFilter ref="B24:J27"/>
  <tableColumns count="9">
    <tableColumn id="5" name="DATA" dataDxfId="135"/>
    <tableColumn id="1" name="EMPRESA" dataDxfId="134"/>
    <tableColumn id="2" name="VALORES" dataDxfId="133" dataCellStyle="Moeda"/>
    <tableColumn id="4" name="MÉDIA DOS DEMAIS" dataDxfId="132">
      <calculatedColumnFormula>IFERROR(AVERAGEIF(Tabela411[[#All],[EMPRESA]],Tabela411[[#This Row],[ITEM2]],Tabela411[[#All],[VALORES]]),"")</calculatedColumnFormula>
    </tableColumn>
    <tableColumn id="7" name="PERCENTUAL EM RELAÇÃO A MÉDIA DOS DEMAIS PREÇOS" dataDxfId="131" dataCellStyle="Porcentagem">
      <calculatedColumnFormula>IFERROR(Tabela411[[#This Row],[VALORES]]/Tabela411[[#This Row],[MÉDIA DOS DEMAIS]]-1,"")</calculatedColumnFormula>
    </tableColumn>
    <tableColumn id="3" name="AVALIAÇÃO" dataDxfId="130">
      <calculatedColumnFormula>IF(AND(Tabela411[[#This Row],[VALORES]]=0,D24=0,D25=0),"",IF(AND(Tabela411[[#This Row],[VALORES]]=0,D25=0,D26=0),"",IF(AND(Tabela411[[#This Row],[VALORES]]=0,D26=0,D27=0),"",IF(Tabela411[[#This Row],[PERCENTUAL EM RELAÇÃO A MÉDIA DOS DEMAIS PREÇOS]]&gt;LIM_SUP,"EXCESSIVAMENTE ELEVADO","VÁLIDO"))))</calculatedColumnFormula>
    </tableColumn>
    <tableColumn id="9" name="PERCENTUAL EM RELAÇÃO A MÉDIA DOS DEMAIS PREÇOS " dataDxfId="129" dataCellStyle="Porcentagem">
      <calculatedColumnFormula>IFERROR(Tabela411[[#This Row],[VALORES]]/Tabela411[[#This Row],[MÉDIA DOS DEMAIS]],"")</calculatedColumnFormula>
    </tableColumn>
    <tableColumn id="8" name="AVALIAÇÃO " dataDxfId="128">
      <calculatedColumnFormula>IF(AND(Tabela411[[#This Row],[VALORES]]=0,D24=0,D25=0),"",IF(AND(Tabela411[[#This Row],[VALORES]]=0,D25=0,D26=0),"",IF(AND(Tabela411[[#This Row],[VALORES]]=0,D26=0,D27=0),"",IF(Tabela411[[#This Row],[PERCENTUAL EM RELAÇÃO A MÉDIA DOS DEMAIS PREÇOS ]]&lt;LIM_INF,"INEXEQUEVEL","VÁLIDO"))))</calculatedColumnFormula>
    </tableColumn>
    <tableColumn id="6" name="ITEM2" dataDxfId="127">
      <calculatedColumnFormula>CONCATENATE("&lt;&gt;",Tabela411[[#This Row],[EMPRESA]])</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79" name="Tabela4115" displayName="Tabela4115" ref="B123:J126" totalsRowShown="0" headerRowDxfId="38" dataDxfId="37">
  <autoFilter ref="B123:J126"/>
  <tableColumns count="9">
    <tableColumn id="5" name="DATA" dataDxfId="36"/>
    <tableColumn id="1" name="EMPRESA" dataDxfId="35"/>
    <tableColumn id="2" name="VALORES" dataDxfId="34" dataCellStyle="Moeda"/>
    <tableColumn id="4" name="MÉDIA DOS DEMAIS" dataDxfId="33">
      <calculatedColumnFormula>IFERROR(AVERAGEIF(Tabela4115[[#All],[EMPRESA]],Tabela4115[[#This Row],[ITEM2]],Tabela4115[[#All],[VALORES]]),"")</calculatedColumnFormula>
    </tableColumn>
    <tableColumn id="7" name="PERCENTUAL EM RELAÇÃO A MÉDIA DOS DEMAIS PREÇOS" dataDxfId="32" dataCellStyle="Porcentagem">
      <calculatedColumnFormula>IFERROR(Tabela4115[[#This Row],[VALORES]]/Tabela4115[[#This Row],[MÉDIA DOS DEMAIS]]-1,"")</calculatedColumnFormula>
    </tableColumn>
    <tableColumn id="3" name="AVALIAÇÃO" dataDxfId="31">
      <calculatedColumnFormula>IF(AND(Tabela4115[[#This Row],[VALORES]]=0,D123=0,D124=0),"",IF(AND(Tabela4115[[#This Row],[VALORES]]=0,D124=0,D125=0),"",IF(AND(Tabela4115[[#This Row],[VALORES]]=0,D125=0,D126=0),"",IF(Tabela4115[[#This Row],[PERCENTUAL EM RELAÇÃO A MÉDIA DOS DEMAIS PREÇOS]]&gt;LIM_SUP,"EXCESSIVAMENTE ELEVADO","VÁLIDO"))))</calculatedColumnFormula>
    </tableColumn>
    <tableColumn id="9" name="PERCENTUAL EM RELAÇÃO A MÉDIA DOS DEMAIS PREÇOS " dataDxfId="30" dataCellStyle="Porcentagem">
      <calculatedColumnFormula>IFERROR(Tabela4115[[#This Row],[VALORES]]/Tabela4115[[#This Row],[MÉDIA DOS DEMAIS]],"")</calculatedColumnFormula>
    </tableColumn>
    <tableColumn id="8" name="AVALIAÇÃO " dataDxfId="29">
      <calculatedColumnFormula>IF(AND(Tabela4115[[#This Row],[VALORES]]=0,D123=0,D124=0),"",IF(AND(Tabela4115[[#This Row],[VALORES]]=0,D124=0,D125=0),"",IF(AND(Tabela4115[[#This Row],[VALORES]]=0,D125=0,D126=0),"",IF(Tabela4115[[#This Row],[PERCENTUAL EM RELAÇÃO A MÉDIA DOS DEMAIS PREÇOS ]]&lt;LIM_INF,"INEXEQUEVEL","VÁLIDO"))))</calculatedColumnFormula>
    </tableColumn>
    <tableColumn id="6" name="ITEM2" dataDxfId="28">
      <calculatedColumnFormula>CONCATENATE("&lt;&gt;",Tabela4115[[#This Row],[EMPRESA]])</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80" name="Tabela4116" displayName="Tabela4116" ref="B134:J137" totalsRowShown="0" headerRowDxfId="27" dataDxfId="26">
  <autoFilter ref="B134:J137"/>
  <tableColumns count="9">
    <tableColumn id="5" name="DATA" dataDxfId="25"/>
    <tableColumn id="1" name="EMPRESA" dataDxfId="24"/>
    <tableColumn id="2" name="VALORES" dataDxfId="23" dataCellStyle="Moeda"/>
    <tableColumn id="4" name="MÉDIA DOS DEMAIS" dataDxfId="22">
      <calculatedColumnFormula>IFERROR(AVERAGEIF(Tabela4116[[#All],[EMPRESA]],Tabela4116[[#This Row],[ITEM2]],Tabela4116[[#All],[VALORES]]),"")</calculatedColumnFormula>
    </tableColumn>
    <tableColumn id="7" name="PERCENTUAL EM RELAÇÃO A MÉDIA DOS DEMAIS PREÇOS" dataDxfId="21" dataCellStyle="Porcentagem">
      <calculatedColumnFormula>IFERROR(Tabela4116[[#This Row],[VALORES]]/Tabela4116[[#This Row],[MÉDIA DOS DEMAIS]]-1,"")</calculatedColumnFormula>
    </tableColumn>
    <tableColumn id="3" name="AVALIAÇÃO" dataDxfId="20">
      <calculatedColumnFormula>IF(AND(Tabela4116[[#This Row],[VALORES]]=0,D134=0,D135=0),"",IF(AND(Tabela4116[[#This Row],[VALORES]]=0,D135=0,D136=0),"",IF(AND(Tabela4116[[#This Row],[VALORES]]=0,D136=0,D137=0),"",IF(Tabela4116[[#This Row],[PERCENTUAL EM RELAÇÃO A MÉDIA DOS DEMAIS PREÇOS]]&gt;LIM_SUP,"EXCESSIVAMENTE ELEVADO","VÁLIDO"))))</calculatedColumnFormula>
    </tableColumn>
    <tableColumn id="9" name="PERCENTUAL EM RELAÇÃO A MÉDIA DOS DEMAIS PREÇOS " dataDxfId="19" dataCellStyle="Porcentagem">
      <calculatedColumnFormula>IFERROR(Tabela4116[[#This Row],[VALORES]]/Tabela4116[[#This Row],[MÉDIA DOS DEMAIS]],"")</calculatedColumnFormula>
    </tableColumn>
    <tableColumn id="8" name="AVALIAÇÃO " dataDxfId="18">
      <calculatedColumnFormula>IF(AND(Tabela4116[[#This Row],[VALORES]]=0,D134=0,D135=0),"",IF(AND(Tabela4116[[#This Row],[VALORES]]=0,D135=0,D136=0),"",IF(AND(Tabela4116[[#This Row],[VALORES]]=0,D136=0,D137=0),"",IF(Tabela4116[[#This Row],[PERCENTUAL EM RELAÇÃO A MÉDIA DOS DEMAIS PREÇOS ]]&lt;LIM_INF,"INEXEQUEVEL","VÁLIDO"))))</calculatedColumnFormula>
    </tableColumn>
    <tableColumn id="6" name="ITEM2" dataDxfId="17">
      <calculatedColumnFormula>CONCATENATE("&lt;&gt;",Tabela4116[[#This Row],[EMPRESA]])</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id="81" name="Tabela4117" displayName="Tabela4117" ref="B145:J148" totalsRowShown="0" headerRowDxfId="16" dataDxfId="15">
  <autoFilter ref="B145:J148"/>
  <tableColumns count="9">
    <tableColumn id="5" name="DATA" dataDxfId="14"/>
    <tableColumn id="1" name="EMPRESA" dataDxfId="13"/>
    <tableColumn id="2" name="VALORES" dataDxfId="12" dataCellStyle="Moeda"/>
    <tableColumn id="4" name="MÉDIA DOS DEMAIS" dataDxfId="11">
      <calculatedColumnFormula>IFERROR(AVERAGEIF(Tabela4117[[#All],[EMPRESA]],Tabela4117[[#This Row],[ITEM2]],Tabela4117[[#All],[VALORES]]),"")</calculatedColumnFormula>
    </tableColumn>
    <tableColumn id="7" name="PERCENTUAL EM RELAÇÃO A MÉDIA DOS DEMAIS PREÇOS" dataDxfId="10" dataCellStyle="Porcentagem">
      <calculatedColumnFormula>IFERROR(Tabela4117[[#This Row],[VALORES]]/Tabela4117[[#This Row],[MÉDIA DOS DEMAIS]]-1,"")</calculatedColumnFormula>
    </tableColumn>
    <tableColumn id="3" name="AVALIAÇÃO" dataDxfId="9">
      <calculatedColumnFormula>IF(AND(Tabela4117[[#This Row],[VALORES]]=0,D145=0,D146=0),"",IF(AND(Tabela4117[[#This Row],[VALORES]]=0,D146=0,D147=0),"",IF(AND(Tabela4117[[#This Row],[VALORES]]=0,D147=0,D148=0),"",IF(Tabela4117[[#This Row],[PERCENTUAL EM RELAÇÃO A MÉDIA DOS DEMAIS PREÇOS]]&gt;LIM_SUP,"EXCESSIVAMENTE ELEVADO","VÁLIDO"))))</calculatedColumnFormula>
    </tableColumn>
    <tableColumn id="9" name="PERCENTUAL EM RELAÇÃO A MÉDIA DOS DEMAIS PREÇOS " dataDxfId="8" dataCellStyle="Porcentagem">
      <calculatedColumnFormula>IFERROR(Tabela4117[[#This Row],[VALORES]]/Tabela4117[[#This Row],[MÉDIA DOS DEMAIS]],"")</calculatedColumnFormula>
    </tableColumn>
    <tableColumn id="8" name="AVALIAÇÃO " dataDxfId="7">
      <calculatedColumnFormula>IF(AND(Tabela4117[[#This Row],[VALORES]]=0,D145=0,D146=0),"",IF(AND(Tabela4117[[#This Row],[VALORES]]=0,D146=0,D147=0),"",IF(AND(Tabela4117[[#This Row],[VALORES]]=0,D147=0,D148=0),"",IF(Tabela4117[[#This Row],[PERCENTUAL EM RELAÇÃO A MÉDIA DOS DEMAIS PREÇOS ]]&lt;LIM_INF,"INEXEQUEVEL","VÁLIDO"))))</calculatedColumnFormula>
    </tableColumn>
    <tableColumn id="6" name="ITEM2" dataDxfId="6">
      <calculatedColumnFormula>CONCATENATE("&lt;&gt;",Tabela4117[[#This Row],[EMPRESA]])</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71" name="Tabela41112" displayName="Tabela41112" ref="B35:J38" totalsRowShown="0" headerRowDxfId="126" dataDxfId="125">
  <autoFilter ref="B35:J38"/>
  <tableColumns count="9">
    <tableColumn id="5" name="DATA" dataDxfId="124"/>
    <tableColumn id="1" name="EMPRESA" dataDxfId="123"/>
    <tableColumn id="2" name="VALORES" dataDxfId="122" dataCellStyle="Moeda"/>
    <tableColumn id="4" name="MÉDIA DOS DEMAIS" dataDxfId="121">
      <calculatedColumnFormula>IFERROR(AVERAGEIF(Tabela41112[[#All],[EMPRESA]],Tabela41112[[#This Row],[ITEM2]],Tabela41112[[#All],[VALORES]]),"")</calculatedColumnFormula>
    </tableColumn>
    <tableColumn id="7" name="PERCENTUAL EM RELAÇÃO A MÉDIA DOS DEMAIS PREÇOS" dataDxfId="120" dataCellStyle="Porcentagem">
      <calculatedColumnFormula>IFERROR(Tabela41112[[#This Row],[VALORES]]/Tabela41112[[#This Row],[MÉDIA DOS DEMAIS]]-1,"")</calculatedColumnFormula>
    </tableColumn>
    <tableColumn id="3" name="AVALIAÇÃO" dataDxfId="119">
      <calculatedColumnFormula>IF(AND(Tabela41112[[#This Row],[VALORES]]=0,D35=0,D36=0),"",IF(AND(Tabela41112[[#This Row],[VALORES]]=0,D36=0,D37=0),"",IF(AND(Tabela41112[[#This Row],[VALORES]]=0,D37=0,D38=0),"",IF(Tabela41112[[#This Row],[PERCENTUAL EM RELAÇÃO A MÉDIA DOS DEMAIS PREÇOS]]&gt;LIM_SUP,"EXCESSIVAMENTE ELEVADO","VÁLIDO"))))</calculatedColumnFormula>
    </tableColumn>
    <tableColumn id="9" name="PERCENTUAL EM RELAÇÃO A MÉDIA DOS DEMAIS PREÇOS " dataDxfId="118" dataCellStyle="Porcentagem">
      <calculatedColumnFormula>IFERROR(Tabela41112[[#This Row],[VALORES]]/Tabela41112[[#This Row],[MÉDIA DOS DEMAIS]],"")</calculatedColumnFormula>
    </tableColumn>
    <tableColumn id="8" name="AVALIAÇÃO " dataDxfId="117">
      <calculatedColumnFormula>IF(AND(Tabela41112[[#This Row],[VALORES]]=0,D35=0,D36=0),"",IF(AND(Tabela41112[[#This Row],[VALORES]]=0,D36=0,D37=0),"",IF(AND(Tabela41112[[#This Row],[VALORES]]=0,D37=0,D38=0),"",IF(Tabela41112[[#This Row],[PERCENTUAL EM RELAÇÃO A MÉDIA DOS DEMAIS PREÇOS ]]&lt;LIM_INF,"INEXEQUEVEL","VÁLIDO"))))</calculatedColumnFormula>
    </tableColumn>
    <tableColumn id="6" name="ITEM2" dataDxfId="116">
      <calculatedColumnFormula>CONCATENATE("&lt;&gt;",Tabela41112[[#This Row],[EMPRESA]])</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2" name="Tabela41113" displayName="Tabela41113" ref="B46:J49" totalsRowShown="0" headerRowDxfId="115" dataDxfId="114">
  <autoFilter ref="B46:J49"/>
  <tableColumns count="9">
    <tableColumn id="5" name="DATA" dataDxfId="113"/>
    <tableColumn id="1" name="EMPRESA" dataDxfId="112"/>
    <tableColumn id="2" name="VALORES" dataDxfId="111" dataCellStyle="Moeda"/>
    <tableColumn id="4" name="MÉDIA DOS DEMAIS" dataDxfId="110">
      <calculatedColumnFormula>IFERROR(AVERAGEIF(Tabela41113[[#All],[EMPRESA]],Tabela41113[[#This Row],[ITEM2]],Tabela41113[[#All],[VALORES]]),"")</calculatedColumnFormula>
    </tableColumn>
    <tableColumn id="7" name="PERCENTUAL EM RELAÇÃO A MÉDIA DOS DEMAIS PREÇOS" dataDxfId="109" dataCellStyle="Porcentagem">
      <calculatedColumnFormula>IFERROR(Tabela41113[[#This Row],[VALORES]]/Tabela41113[[#This Row],[MÉDIA DOS DEMAIS]]-1,"")</calculatedColumnFormula>
    </tableColumn>
    <tableColumn id="3" name="AVALIAÇÃO" dataDxfId="108">
      <calculatedColumnFormula>IF(AND(Tabela41113[[#This Row],[VALORES]]=0,D46=0,D47=0),"",IF(AND(Tabela41113[[#This Row],[VALORES]]=0,D47=0,D48=0),"",IF(AND(Tabela41113[[#This Row],[VALORES]]=0,D48=0,D49=0),"",IF(Tabela41113[[#This Row],[PERCENTUAL EM RELAÇÃO A MÉDIA DOS DEMAIS PREÇOS]]&gt;LIM_SUP,"EXCESSIVAMENTE ELEVADO","VÁLIDO"))))</calculatedColumnFormula>
    </tableColumn>
    <tableColumn id="9" name="PERCENTUAL EM RELAÇÃO A MÉDIA DOS DEMAIS PREÇOS " dataDxfId="107" dataCellStyle="Porcentagem">
      <calculatedColumnFormula>IFERROR(Tabela41113[[#This Row],[VALORES]]/Tabela41113[[#This Row],[MÉDIA DOS DEMAIS]],"")</calculatedColumnFormula>
    </tableColumn>
    <tableColumn id="8" name="AVALIAÇÃO " dataDxfId="106">
      <calculatedColumnFormula>IF(AND(Tabela41113[[#This Row],[VALORES]]=0,D46=0,D47=0),"",IF(AND(Tabela41113[[#This Row],[VALORES]]=0,D47=0,D48=0),"",IF(AND(Tabela41113[[#This Row],[VALORES]]=0,D48=0,D49=0),"",IF(Tabela41113[[#This Row],[PERCENTUAL EM RELAÇÃO A MÉDIA DOS DEMAIS PREÇOS ]]&lt;LIM_INF,"INEXEQUEVEL","VÁLIDO"))))</calculatedColumnFormula>
    </tableColumn>
    <tableColumn id="6" name="ITEM2" dataDxfId="105">
      <calculatedColumnFormula>CONCATENATE("&lt;&gt;",Tabela41113[[#This Row],[EMPRESA]])</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73" name="Tabela41114" displayName="Tabela41114" ref="B57:J60" totalsRowShown="0" headerRowDxfId="104" dataDxfId="103">
  <autoFilter ref="B57:J60"/>
  <tableColumns count="9">
    <tableColumn id="5" name="DATA" dataDxfId="102"/>
    <tableColumn id="1" name="EMPRESA" dataDxfId="101"/>
    <tableColumn id="2" name="VALORES" dataDxfId="100" dataCellStyle="Moeda"/>
    <tableColumn id="4" name="MÉDIA DOS DEMAIS" dataDxfId="99">
      <calculatedColumnFormula>IFERROR(AVERAGEIF(Tabela41114[[#All],[EMPRESA]],Tabela41114[[#This Row],[ITEM2]],Tabela41114[[#All],[VALORES]]),"")</calculatedColumnFormula>
    </tableColumn>
    <tableColumn id="7" name="PERCENTUAL EM RELAÇÃO A MÉDIA DOS DEMAIS PREÇOS" dataDxfId="98" dataCellStyle="Porcentagem">
      <calculatedColumnFormula>IFERROR(Tabela41114[[#This Row],[VALORES]]/Tabela41114[[#This Row],[MÉDIA DOS DEMAIS]]-1,"")</calculatedColumnFormula>
    </tableColumn>
    <tableColumn id="3" name="AVALIAÇÃO" dataDxfId="97">
      <calculatedColumnFormula>IF(AND(Tabela41114[[#This Row],[VALORES]]=0,D57=0,D58=0),"",IF(AND(Tabela41114[[#This Row],[VALORES]]=0,D58=0,D59=0),"",IF(AND(Tabela41114[[#This Row],[VALORES]]=0,D59=0,D60=0),"",IF(Tabela41114[[#This Row],[PERCENTUAL EM RELAÇÃO A MÉDIA DOS DEMAIS PREÇOS]]&gt;LIM_SUP,"EXCESSIVAMENTE ELEVADO","VÁLIDO"))))</calculatedColumnFormula>
    </tableColumn>
    <tableColumn id="9" name="PERCENTUAL EM RELAÇÃO A MÉDIA DOS DEMAIS PREÇOS " dataDxfId="96" dataCellStyle="Porcentagem">
      <calculatedColumnFormula>IFERROR(Tabela41114[[#This Row],[VALORES]]/Tabela41114[[#This Row],[MÉDIA DOS DEMAIS]],"")</calculatedColumnFormula>
    </tableColumn>
    <tableColumn id="8" name="AVALIAÇÃO " dataDxfId="95">
      <calculatedColumnFormula>IF(AND(Tabela41114[[#This Row],[VALORES]]=0,D57=0,D58=0),"",IF(AND(Tabela41114[[#This Row],[VALORES]]=0,D58=0,D59=0),"",IF(AND(Tabela41114[[#This Row],[VALORES]]=0,D59=0,D60=0),"",IF(Tabela41114[[#This Row],[PERCENTUAL EM RELAÇÃO A MÉDIA DOS DEMAIS PREÇOS ]]&lt;LIM_INF,"INEXEQUEVEL","VÁLIDO"))))</calculatedColumnFormula>
    </tableColumn>
    <tableColumn id="6" name="ITEM2" dataDxfId="94">
      <calculatedColumnFormula>CONCATENATE("&lt;&gt;",Tabela41114[[#This Row],[EMPRESA]])</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74" name="Tabela41115" displayName="Tabela41115" ref="B68:J71" totalsRowShown="0" headerRowDxfId="93" dataDxfId="92">
  <autoFilter ref="B68:J71"/>
  <tableColumns count="9">
    <tableColumn id="5" name="DATA" dataDxfId="91"/>
    <tableColumn id="1" name="EMPRESA" dataDxfId="90"/>
    <tableColumn id="2" name="VALORES" dataDxfId="89" dataCellStyle="Moeda"/>
    <tableColumn id="4" name="MÉDIA DOS DEMAIS" dataDxfId="88">
      <calculatedColumnFormula>IFERROR(AVERAGEIF(Tabela41115[[#All],[EMPRESA]],Tabela41115[[#This Row],[ITEM2]],Tabela41115[[#All],[VALORES]]),"")</calculatedColumnFormula>
    </tableColumn>
    <tableColumn id="7" name="PERCENTUAL EM RELAÇÃO A MÉDIA DOS DEMAIS PREÇOS" dataDxfId="87" dataCellStyle="Porcentagem">
      <calculatedColumnFormula>IFERROR(Tabela41115[[#This Row],[VALORES]]/Tabela41115[[#This Row],[MÉDIA DOS DEMAIS]]-1,"")</calculatedColumnFormula>
    </tableColumn>
    <tableColumn id="3" name="AVALIAÇÃO" dataDxfId="86">
      <calculatedColumnFormula>IF(AND(Tabela41115[[#This Row],[VALORES]]=0,D68=0,D69=0),"",IF(AND(Tabela41115[[#This Row],[VALORES]]=0,D69=0,D70=0),"",IF(AND(Tabela41115[[#This Row],[VALORES]]=0,D70=0,D71=0),"",IF(Tabela41115[[#This Row],[PERCENTUAL EM RELAÇÃO A MÉDIA DOS DEMAIS PREÇOS]]&gt;LIM_SUP,"EXCESSIVAMENTE ELEVADO","VÁLIDO"))))</calculatedColumnFormula>
    </tableColumn>
    <tableColumn id="9" name="PERCENTUAL EM RELAÇÃO A MÉDIA DOS DEMAIS PREÇOS " dataDxfId="85" dataCellStyle="Porcentagem">
      <calculatedColumnFormula>IFERROR(Tabela41115[[#This Row],[VALORES]]/Tabela41115[[#This Row],[MÉDIA DOS DEMAIS]],"")</calculatedColumnFormula>
    </tableColumn>
    <tableColumn id="8" name="AVALIAÇÃO " dataDxfId="84">
      <calculatedColumnFormula>IF(AND(Tabela41115[[#This Row],[VALORES]]=0,D68=0,D69=0),"",IF(AND(Tabela41115[[#This Row],[VALORES]]=0,D69=0,D70=0),"",IF(AND(Tabela41115[[#This Row],[VALORES]]=0,D70=0,D71=0),"",IF(Tabela41115[[#This Row],[PERCENTUAL EM RELAÇÃO A MÉDIA DOS DEMAIS PREÇOS ]]&lt;LIM_INF,"INEXEQUEVEL","VÁLIDO"))))</calculatedColumnFormula>
    </tableColumn>
    <tableColumn id="6" name="ITEM2" dataDxfId="83">
      <calculatedColumnFormula>CONCATENATE("&lt;&gt;",Tabela41115[[#This Row],[EMPRESA]])</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75" name="Tabela41116" displayName="Tabela41116" ref="B79:J82" totalsRowShown="0" headerRowDxfId="82" dataDxfId="81">
  <autoFilter ref="B79:J82"/>
  <tableColumns count="9">
    <tableColumn id="5" name="DATA" dataDxfId="80"/>
    <tableColumn id="1" name="EMPRESA" dataDxfId="79"/>
    <tableColumn id="2" name="VALORES" dataDxfId="78" dataCellStyle="Moeda"/>
    <tableColumn id="4" name="MÉDIA DOS DEMAIS" dataDxfId="77">
      <calculatedColumnFormula>IFERROR(AVERAGEIF(Tabela41116[[#All],[EMPRESA]],Tabela41116[[#This Row],[ITEM2]],Tabela41116[[#All],[VALORES]]),"")</calculatedColumnFormula>
    </tableColumn>
    <tableColumn id="7" name="PERCENTUAL EM RELAÇÃO A MÉDIA DOS DEMAIS PREÇOS" dataDxfId="76" dataCellStyle="Porcentagem">
      <calculatedColumnFormula>IFERROR(Tabela41116[[#This Row],[VALORES]]/Tabela41116[[#This Row],[MÉDIA DOS DEMAIS]]-1,"")</calculatedColumnFormula>
    </tableColumn>
    <tableColumn id="3" name="AVALIAÇÃO" dataDxfId="75">
      <calculatedColumnFormula>IF(AND(Tabela41116[[#This Row],[VALORES]]=0,D79=0,D80=0),"",IF(AND(Tabela41116[[#This Row],[VALORES]]=0,D80=0,D81=0),"",IF(AND(Tabela41116[[#This Row],[VALORES]]=0,D81=0,D82=0),"",IF(Tabela41116[[#This Row],[PERCENTUAL EM RELAÇÃO A MÉDIA DOS DEMAIS PREÇOS]]&gt;LIM_SUP,"EXCESSIVAMENTE ELEVADO","VÁLIDO"))))</calculatedColumnFormula>
    </tableColumn>
    <tableColumn id="9" name="PERCENTUAL EM RELAÇÃO A MÉDIA DOS DEMAIS PREÇOS " dataDxfId="74" dataCellStyle="Porcentagem">
      <calculatedColumnFormula>IFERROR(Tabela41116[[#This Row],[VALORES]]/Tabela41116[[#This Row],[MÉDIA DOS DEMAIS]],"")</calculatedColumnFormula>
    </tableColumn>
    <tableColumn id="8" name="AVALIAÇÃO " dataDxfId="73">
      <calculatedColumnFormula>IF(AND(Tabela41116[[#This Row],[VALORES]]=0,D79=0,D80=0),"",IF(AND(Tabela41116[[#This Row],[VALORES]]=0,D80=0,D81=0),"",IF(AND(Tabela41116[[#This Row],[VALORES]]=0,D81=0,D82=0),"",IF(Tabela41116[[#This Row],[PERCENTUAL EM RELAÇÃO A MÉDIA DOS DEMAIS PREÇOS ]]&lt;LIM_INF,"INEXEQUEVEL","VÁLIDO"))))</calculatedColumnFormula>
    </tableColumn>
    <tableColumn id="6" name="ITEM2" dataDxfId="72">
      <calculatedColumnFormula>CONCATENATE("&lt;&gt;",Tabela41116[[#This Row],[EMPRESA]])</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76" name="Tabela4112" displayName="Tabela4112" ref="B90:J93" totalsRowShown="0" headerRowDxfId="71" dataDxfId="70">
  <autoFilter ref="B90:J93"/>
  <tableColumns count="9">
    <tableColumn id="5" name="DATA" dataDxfId="69"/>
    <tableColumn id="1" name="EMPRESA" dataDxfId="68"/>
    <tableColumn id="2" name="VALORES" dataDxfId="67" dataCellStyle="Moeda"/>
    <tableColumn id="4" name="MÉDIA DOS DEMAIS" dataDxfId="66">
      <calculatedColumnFormula>IFERROR(AVERAGEIF(Tabela4112[[#All],[EMPRESA]],Tabela4112[[#This Row],[ITEM2]],Tabela4112[[#All],[VALORES]]),"")</calculatedColumnFormula>
    </tableColumn>
    <tableColumn id="7" name="PERCENTUAL EM RELAÇÃO A MÉDIA DOS DEMAIS PREÇOS" dataDxfId="65" dataCellStyle="Porcentagem">
      <calculatedColumnFormula>IFERROR(Tabela4112[[#This Row],[VALORES]]/Tabela4112[[#This Row],[MÉDIA DOS DEMAIS]]-1,"")</calculatedColumnFormula>
    </tableColumn>
    <tableColumn id="3" name="AVALIAÇÃO" dataDxfId="64">
      <calculatedColumnFormula>IF(AND(Tabela4112[[#This Row],[VALORES]]=0,D90=0,D91=0),"",IF(AND(Tabela4112[[#This Row],[VALORES]]=0,D91=0,D92=0),"",IF(AND(Tabela4112[[#This Row],[VALORES]]=0,D92=0,D93=0),"",IF(Tabela4112[[#This Row],[PERCENTUAL EM RELAÇÃO A MÉDIA DOS DEMAIS PREÇOS]]&gt;LIM_SUP,"EXCESSIVAMENTE ELEVADO","VÁLIDO"))))</calculatedColumnFormula>
    </tableColumn>
    <tableColumn id="9" name="PERCENTUAL EM RELAÇÃO A MÉDIA DOS DEMAIS PREÇOS " dataDxfId="63" dataCellStyle="Porcentagem">
      <calculatedColumnFormula>IFERROR(Tabela4112[[#This Row],[VALORES]]/Tabela4112[[#This Row],[MÉDIA DOS DEMAIS]],"")</calculatedColumnFormula>
    </tableColumn>
    <tableColumn id="8" name="AVALIAÇÃO " dataDxfId="62">
      <calculatedColumnFormula>IF(AND(Tabela4112[[#This Row],[VALORES]]=0,D90=0,D91=0),"",IF(AND(Tabela4112[[#This Row],[VALORES]]=0,D91=0,D92=0),"",IF(AND(Tabela4112[[#This Row],[VALORES]]=0,D92=0,D93=0),"",IF(Tabela4112[[#This Row],[PERCENTUAL EM RELAÇÃO A MÉDIA DOS DEMAIS PREÇOS ]]&lt;LIM_INF,"INEXEQUEVEL","VÁLIDO"))))</calculatedColumnFormula>
    </tableColumn>
    <tableColumn id="6" name="ITEM2" dataDxfId="61">
      <calculatedColumnFormula>CONCATENATE("&lt;&gt;",Tabela4112[[#This Row],[EMPRESA]])</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77" name="Tabela4113" displayName="Tabela4113" ref="B101:J104" totalsRowShown="0" headerRowDxfId="60" dataDxfId="59">
  <autoFilter ref="B101:J104"/>
  <tableColumns count="9">
    <tableColumn id="5" name="DATA" dataDxfId="58"/>
    <tableColumn id="1" name="EMPRESA" dataDxfId="57"/>
    <tableColumn id="2" name="VALORES" dataDxfId="56" dataCellStyle="Moeda"/>
    <tableColumn id="4" name="MÉDIA DOS DEMAIS" dataDxfId="55">
      <calculatedColumnFormula>IFERROR(AVERAGEIF(Tabela4113[[#All],[EMPRESA]],Tabela4113[[#This Row],[ITEM2]],Tabela4113[[#All],[VALORES]]),"")</calculatedColumnFormula>
    </tableColumn>
    <tableColumn id="7" name="PERCENTUAL EM RELAÇÃO A MÉDIA DOS DEMAIS PREÇOS" dataDxfId="54" dataCellStyle="Porcentagem">
      <calculatedColumnFormula>IFERROR(Tabela4113[[#This Row],[VALORES]]/Tabela4113[[#This Row],[MÉDIA DOS DEMAIS]]-1,"")</calculatedColumnFormula>
    </tableColumn>
    <tableColumn id="3" name="AVALIAÇÃO" dataDxfId="53">
      <calculatedColumnFormula>IF(AND(Tabela4113[[#This Row],[VALORES]]=0,D101=0,D102=0),"",IF(AND(Tabela4113[[#This Row],[VALORES]]=0,D102=0,D103=0),"",IF(AND(Tabela4113[[#This Row],[VALORES]]=0,D103=0,D104=0),"",IF(Tabela4113[[#This Row],[PERCENTUAL EM RELAÇÃO A MÉDIA DOS DEMAIS PREÇOS]]&gt;LIM_SUP,"EXCESSIVAMENTE ELEVADO","VÁLIDO"))))</calculatedColumnFormula>
    </tableColumn>
    <tableColumn id="9" name="PERCENTUAL EM RELAÇÃO A MÉDIA DOS DEMAIS PREÇOS " dataDxfId="52" dataCellStyle="Porcentagem">
      <calculatedColumnFormula>IFERROR(Tabela4113[[#This Row],[VALORES]]/Tabela4113[[#This Row],[MÉDIA DOS DEMAIS]],"")</calculatedColumnFormula>
    </tableColumn>
    <tableColumn id="8" name="AVALIAÇÃO " dataDxfId="51">
      <calculatedColumnFormula>IF(AND(Tabela4113[[#This Row],[VALORES]]=0,D101=0,D102=0),"",IF(AND(Tabela4113[[#This Row],[VALORES]]=0,D102=0,D103=0),"",IF(AND(Tabela4113[[#This Row],[VALORES]]=0,D103=0,D104=0),"",IF(Tabela4113[[#This Row],[PERCENTUAL EM RELAÇÃO A MÉDIA DOS DEMAIS PREÇOS ]]&lt;LIM_INF,"INEXEQUEVEL","VÁLIDO"))))</calculatedColumnFormula>
    </tableColumn>
    <tableColumn id="6" name="ITEM2" dataDxfId="50">
      <calculatedColumnFormula>CONCATENATE("&lt;&gt;",Tabela4113[[#This Row],[EMPRESA]])</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78" name="Tabela4114" displayName="Tabela4114" ref="B112:J115" totalsRowShown="0" headerRowDxfId="49" dataDxfId="48">
  <autoFilter ref="B112:J115"/>
  <tableColumns count="9">
    <tableColumn id="5" name="DATA" dataDxfId="47"/>
    <tableColumn id="1" name="EMPRESA" dataDxfId="46"/>
    <tableColumn id="2" name="VALORES" dataDxfId="45" dataCellStyle="Moeda"/>
    <tableColumn id="4" name="MÉDIA DOS DEMAIS" dataDxfId="44">
      <calculatedColumnFormula>IFERROR(AVERAGEIF(Tabela4114[[#All],[EMPRESA]],Tabela4114[[#This Row],[ITEM2]],Tabela4114[[#All],[VALORES]]),"")</calculatedColumnFormula>
    </tableColumn>
    <tableColumn id="7" name="PERCENTUAL EM RELAÇÃO A MÉDIA DOS DEMAIS PREÇOS" dataDxfId="43" dataCellStyle="Porcentagem">
      <calculatedColumnFormula>IFERROR(Tabela4114[[#This Row],[VALORES]]/Tabela4114[[#This Row],[MÉDIA DOS DEMAIS]]-1,"")</calculatedColumnFormula>
    </tableColumn>
    <tableColumn id="3" name="AVALIAÇÃO" dataDxfId="42">
      <calculatedColumnFormula>IF(AND(Tabela4114[[#This Row],[VALORES]]=0,D112=0,D113=0),"",IF(AND(Tabela4114[[#This Row],[VALORES]]=0,D113=0,D114=0),"",IF(AND(Tabela4114[[#This Row],[VALORES]]=0,D114=0,D115=0),"",IF(Tabela4114[[#This Row],[PERCENTUAL EM RELAÇÃO A MÉDIA DOS DEMAIS PREÇOS]]&gt;LIM_SUP,"EXCESSIVAMENTE ELEVADO","VÁLIDO"))))</calculatedColumnFormula>
    </tableColumn>
    <tableColumn id="9" name="PERCENTUAL EM RELAÇÃO A MÉDIA DOS DEMAIS PREÇOS " dataDxfId="41" dataCellStyle="Porcentagem">
      <calculatedColumnFormula>IFERROR(Tabela4114[[#This Row],[VALORES]]/Tabela4114[[#This Row],[MÉDIA DOS DEMAIS]],"")</calculatedColumnFormula>
    </tableColumn>
    <tableColumn id="8" name="AVALIAÇÃO " dataDxfId="40">
      <calculatedColumnFormula>IF(AND(Tabela4114[[#This Row],[VALORES]]=0,D112=0,D113=0),"",IF(AND(Tabela4114[[#This Row],[VALORES]]=0,D113=0,D114=0),"",IF(AND(Tabela4114[[#This Row],[VALORES]]=0,D114=0,D115=0),"",IF(Tabela4114[[#This Row],[PERCENTUAL EM RELAÇÃO A MÉDIA DOS DEMAIS PREÇOS ]]&lt;LIM_INF,"INEXEQUEVEL","VÁLIDO"))))</calculatedColumnFormula>
    </tableColumn>
    <tableColumn id="6" name="ITEM2" dataDxfId="39">
      <calculatedColumnFormula>CONCATENATE("&lt;&gt;",Tabela4114[[#This Row],[EMPRESA]])</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view="pageBreakPreview" topLeftCell="A4" zoomScale="130" zoomScaleNormal="100" zoomScaleSheetLayoutView="130" workbookViewId="0">
      <selection activeCell="C18" sqref="C18"/>
    </sheetView>
  </sheetViews>
  <sheetFormatPr defaultColWidth="9.140625" defaultRowHeight="9.75" x14ac:dyDescent="0.15"/>
  <cols>
    <col min="1" max="1" width="11.7109375" style="212" customWidth="1"/>
    <col min="2" max="2" width="61.5703125" style="212" bestFit="1" customWidth="1"/>
    <col min="3" max="3" width="20.5703125" style="212" customWidth="1"/>
    <col min="4" max="16384" width="9.140625" style="212"/>
  </cols>
  <sheetData>
    <row r="1" spans="1:3" s="289" customFormat="1" x14ac:dyDescent="0.15">
      <c r="A1" s="409" t="s">
        <v>112</v>
      </c>
      <c r="B1" s="410"/>
      <c r="C1" s="411"/>
    </row>
    <row r="2" spans="1:3" s="289" customFormat="1" x14ac:dyDescent="0.15">
      <c r="A2" s="412" t="s">
        <v>111</v>
      </c>
      <c r="B2" s="413"/>
      <c r="C2" s="414"/>
    </row>
    <row r="3" spans="1:3" s="289" customFormat="1" x14ac:dyDescent="0.15">
      <c r="A3" s="290"/>
      <c r="B3" s="291"/>
      <c r="C3" s="292"/>
    </row>
    <row r="4" spans="1:3" s="289" customFormat="1" x14ac:dyDescent="0.15">
      <c r="A4" s="293"/>
      <c r="B4" s="294"/>
      <c r="C4" s="295"/>
    </row>
    <row r="5" spans="1:3" s="296" customFormat="1" x14ac:dyDescent="0.15">
      <c r="A5" s="415" t="s">
        <v>203</v>
      </c>
      <c r="B5" s="416"/>
      <c r="C5" s="417"/>
    </row>
    <row r="6" spans="1:3" s="296" customFormat="1" ht="18.75" customHeight="1" x14ac:dyDescent="0.15">
      <c r="A6" s="418" t="s">
        <v>110</v>
      </c>
      <c r="B6" s="419"/>
      <c r="C6" s="420"/>
    </row>
    <row r="7" spans="1:3" s="296" customFormat="1" x14ac:dyDescent="0.15">
      <c r="A7" s="297"/>
      <c r="B7" s="298" t="s">
        <v>202</v>
      </c>
      <c r="C7" s="299" t="str">
        <f>'PLANILHA ORÇAMENTÁRIA'!F6</f>
        <v>SINAPI - 07/2025 - MS</v>
      </c>
    </row>
    <row r="8" spans="1:3" s="296" customFormat="1" x14ac:dyDescent="0.15">
      <c r="A8" s="297"/>
      <c r="B8" s="300" t="s">
        <v>201</v>
      </c>
      <c r="C8" s="301">
        <v>0.32950000000000002</v>
      </c>
    </row>
    <row r="9" spans="1:3" s="296" customFormat="1" x14ac:dyDescent="0.15">
      <c r="A9" s="297"/>
      <c r="B9" s="300" t="s">
        <v>200</v>
      </c>
      <c r="C9" s="301">
        <v>0.26540000000000002</v>
      </c>
    </row>
    <row r="10" spans="1:3" s="296" customFormat="1" x14ac:dyDescent="0.15">
      <c r="A10" s="297"/>
      <c r="B10" s="300" t="s">
        <v>294</v>
      </c>
      <c r="C10" s="301">
        <v>0.15279999999999999</v>
      </c>
    </row>
    <row r="11" spans="1:3" s="296" customFormat="1" x14ac:dyDescent="0.15">
      <c r="A11" s="297"/>
      <c r="B11" s="300"/>
      <c r="C11" s="301"/>
    </row>
    <row r="12" spans="1:3" s="303" customFormat="1" ht="10.5" thickBot="1" x14ac:dyDescent="0.2">
      <c r="A12" s="302"/>
      <c r="B12" s="214"/>
      <c r="C12" s="213"/>
    </row>
    <row r="13" spans="1:3" ht="11.25" thickTop="1" thickBot="1" x14ac:dyDescent="0.2">
      <c r="A13" s="424" t="s">
        <v>199</v>
      </c>
      <c r="B13" s="425"/>
      <c r="C13" s="426"/>
    </row>
    <row r="14" spans="1:3" ht="11.25" thickTop="1" thickBot="1" x14ac:dyDescent="0.2">
      <c r="A14" s="304" t="s">
        <v>180</v>
      </c>
      <c r="B14" s="305" t="s">
        <v>198</v>
      </c>
      <c r="C14" s="306" t="s">
        <v>197</v>
      </c>
    </row>
    <row r="15" spans="1:3" ht="11.25" thickTop="1" thickBot="1" x14ac:dyDescent="0.2">
      <c r="A15" s="323">
        <v>1</v>
      </c>
      <c r="B15" s="307" t="s">
        <v>8</v>
      </c>
      <c r="C15" s="308">
        <f>'PLANILHA ORÇAMENTÁRIA'!L16</f>
        <v>24603.43</v>
      </c>
    </row>
    <row r="16" spans="1:3" ht="11.25" thickTop="1" thickBot="1" x14ac:dyDescent="0.2">
      <c r="A16" s="323">
        <v>2</v>
      </c>
      <c r="B16" s="307" t="s">
        <v>77</v>
      </c>
      <c r="C16" s="308">
        <f>'PLANILHA ORÇAMENTÁRIA'!L25</f>
        <v>456970.76</v>
      </c>
    </row>
    <row r="17" spans="1:3" ht="11.25" thickTop="1" thickBot="1" x14ac:dyDescent="0.2">
      <c r="A17" s="323">
        <v>3</v>
      </c>
      <c r="B17" s="307" t="s">
        <v>150</v>
      </c>
      <c r="C17" s="308">
        <f>'PLANILHA ORÇAMENTÁRIA'!L45</f>
        <v>1484213.4600000004</v>
      </c>
    </row>
    <row r="18" spans="1:3" ht="11.25" thickTop="1" thickBot="1" x14ac:dyDescent="0.2">
      <c r="A18" s="309"/>
      <c r="B18" s="345" t="s">
        <v>196</v>
      </c>
      <c r="C18" s="310">
        <f>SUM(C15:C17)</f>
        <v>1965787.6500000004</v>
      </c>
    </row>
    <row r="19" spans="1:3" ht="11.25" thickTop="1" thickBot="1" x14ac:dyDescent="0.2">
      <c r="A19" s="302"/>
      <c r="B19" s="214"/>
      <c r="C19" s="213"/>
    </row>
    <row r="20" spans="1:3" ht="11.25" thickTop="1" thickBot="1" x14ac:dyDescent="0.2">
      <c r="A20" s="421" t="s">
        <v>106</v>
      </c>
      <c r="B20" s="422"/>
      <c r="C20" s="423"/>
    </row>
    <row r="21" spans="1:3" ht="11.25" thickTop="1" thickBot="1" x14ac:dyDescent="0.2">
      <c r="A21" s="311" t="s">
        <v>180</v>
      </c>
      <c r="B21" s="312" t="s">
        <v>198</v>
      </c>
      <c r="C21" s="313" t="s">
        <v>197</v>
      </c>
    </row>
    <row r="22" spans="1:3" ht="11.25" thickTop="1" thickBot="1" x14ac:dyDescent="0.2">
      <c r="A22" s="322">
        <v>1</v>
      </c>
      <c r="B22" s="315" t="s">
        <v>8</v>
      </c>
      <c r="C22" s="316">
        <f>'PLANILHA ORÇAMENTÁRIA'!I16</f>
        <v>23418.54</v>
      </c>
    </row>
    <row r="23" spans="1:3" ht="11.25" thickTop="1" thickBot="1" x14ac:dyDescent="0.2">
      <c r="A23" s="322">
        <v>2</v>
      </c>
      <c r="B23" s="315" t="s">
        <v>77</v>
      </c>
      <c r="C23" s="316">
        <f>'PLANILHA ORÇAMENTÁRIA'!I25</f>
        <v>434940.45</v>
      </c>
    </row>
    <row r="24" spans="1:3" ht="11.25" thickTop="1" thickBot="1" x14ac:dyDescent="0.2">
      <c r="A24" s="322">
        <v>3</v>
      </c>
      <c r="B24" s="315" t="s">
        <v>150</v>
      </c>
      <c r="C24" s="316">
        <f>'PLANILHA ORÇAMENTÁRIA'!I45</f>
        <v>1484213.46</v>
      </c>
    </row>
    <row r="25" spans="1:3" ht="11.25" thickTop="1" thickBot="1" x14ac:dyDescent="0.2">
      <c r="A25" s="314"/>
      <c r="B25" s="317" t="s">
        <v>196</v>
      </c>
      <c r="C25" s="318">
        <f>TRUNC(SUM(C22:C24),2)</f>
        <v>1942572.45</v>
      </c>
    </row>
    <row r="26" spans="1:3" ht="10.5" thickTop="1" x14ac:dyDescent="0.15">
      <c r="A26" s="302"/>
      <c r="B26" s="214"/>
      <c r="C26" s="213"/>
    </row>
    <row r="27" spans="1:3" x14ac:dyDescent="0.15">
      <c r="A27" s="406" t="s">
        <v>287</v>
      </c>
      <c r="B27" s="407"/>
      <c r="C27" s="408"/>
    </row>
    <row r="28" spans="1:3" x14ac:dyDescent="0.15">
      <c r="A28" s="406"/>
      <c r="B28" s="407"/>
      <c r="C28" s="408"/>
    </row>
    <row r="29" spans="1:3" x14ac:dyDescent="0.15">
      <c r="A29" s="302"/>
      <c r="B29" s="214"/>
      <c r="C29" s="213"/>
    </row>
    <row r="30" spans="1:3" x14ac:dyDescent="0.15">
      <c r="A30" s="302"/>
      <c r="B30" s="214"/>
      <c r="C30" s="213"/>
    </row>
    <row r="31" spans="1:3" ht="73.5" customHeight="1" x14ac:dyDescent="0.15">
      <c r="A31" s="402" t="s">
        <v>195</v>
      </c>
      <c r="B31" s="403"/>
      <c r="C31" s="404"/>
    </row>
    <row r="32" spans="1:3" ht="10.5" thickBot="1" x14ac:dyDescent="0.2">
      <c r="A32" s="319"/>
      <c r="B32" s="320"/>
      <c r="C32" s="321"/>
    </row>
    <row r="33" spans="1:3" ht="34.5" customHeight="1" x14ac:dyDescent="0.15">
      <c r="A33" s="405"/>
      <c r="B33" s="405"/>
      <c r="C33" s="405"/>
    </row>
  </sheetData>
  <mergeCells count="9">
    <mergeCell ref="A31:C31"/>
    <mergeCell ref="A33:C33"/>
    <mergeCell ref="A27:C28"/>
    <mergeCell ref="A1:C1"/>
    <mergeCell ref="A2:C2"/>
    <mergeCell ref="A5:C5"/>
    <mergeCell ref="A6:C6"/>
    <mergeCell ref="A20:C20"/>
    <mergeCell ref="A13:C13"/>
  </mergeCells>
  <pageMargins left="0.51181102362204722" right="0.51181102362204722" top="0.78740157480314965" bottom="0.78740157480314965" header="0.31496062992125984" footer="0.31496062992125984"/>
  <pageSetup paperSize="9" scale="98" orientation="portrait" r:id="rId1"/>
  <headerFooter>
    <oddFooter>&amp;CR. Mte. Estanislau Panatier, 1199 - Jardim Monumento, Campo Grande - MS, CEP: 79063-000 – Fone (067) 3314-3600 - ramal 3640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view="pageBreakPreview" zoomScaleNormal="100" zoomScaleSheetLayoutView="100" workbookViewId="0">
      <selection activeCell="B32" sqref="B32"/>
    </sheetView>
  </sheetViews>
  <sheetFormatPr defaultColWidth="8.85546875" defaultRowHeight="15" x14ac:dyDescent="0.25"/>
  <cols>
    <col min="1" max="1" width="2.28515625" customWidth="1"/>
    <col min="2" max="2" width="44.7109375" customWidth="1"/>
    <col min="3" max="3" width="11.42578125" customWidth="1"/>
    <col min="4" max="4" width="13.28515625" bestFit="1" customWidth="1"/>
    <col min="5" max="5" width="11.42578125" customWidth="1"/>
    <col min="6" max="6" width="17.42578125" customWidth="1"/>
  </cols>
  <sheetData>
    <row r="1" spans="2:15" s="39" customFormat="1" ht="12.75" x14ac:dyDescent="0.25">
      <c r="B1" s="556" t="s">
        <v>112</v>
      </c>
      <c r="C1" s="556"/>
      <c r="D1" s="556"/>
      <c r="E1" s="556"/>
      <c r="F1" s="556"/>
      <c r="G1" s="40"/>
      <c r="H1" s="40"/>
      <c r="I1" s="40"/>
      <c r="J1" s="40"/>
      <c r="K1" s="40"/>
      <c r="L1" s="40"/>
      <c r="M1" s="40"/>
      <c r="N1" s="549"/>
      <c r="O1" s="549"/>
    </row>
    <row r="2" spans="2:15" s="39" customFormat="1" ht="14.25" x14ac:dyDescent="0.25">
      <c r="B2" s="556" t="s">
        <v>111</v>
      </c>
      <c r="C2" s="556"/>
      <c r="D2" s="556"/>
      <c r="E2" s="556"/>
      <c r="F2" s="556"/>
      <c r="G2" s="40"/>
      <c r="H2" s="40"/>
      <c r="I2" s="40"/>
      <c r="J2" s="40"/>
      <c r="K2" s="40"/>
      <c r="L2" s="40"/>
      <c r="M2" s="40"/>
      <c r="N2" s="550"/>
      <c r="O2" s="550"/>
    </row>
    <row r="3" spans="2:15" s="39" customFormat="1" ht="12.75" x14ac:dyDescent="0.25">
      <c r="B3" s="556" t="s">
        <v>237</v>
      </c>
      <c r="C3" s="556"/>
      <c r="D3" s="556"/>
      <c r="E3" s="556"/>
      <c r="F3" s="556"/>
      <c r="G3" s="40"/>
      <c r="H3" s="40"/>
      <c r="I3" s="40"/>
      <c r="J3" s="40"/>
      <c r="K3" s="40"/>
      <c r="L3" s="40"/>
      <c r="M3" s="40"/>
      <c r="N3" s="549"/>
      <c r="O3" s="549"/>
    </row>
    <row r="4" spans="2:15" ht="15.75" thickBot="1" x14ac:dyDescent="0.3"/>
    <row r="5" spans="2:15" x14ac:dyDescent="0.25">
      <c r="B5" s="555" t="s">
        <v>236</v>
      </c>
      <c r="C5" s="555"/>
      <c r="D5" s="555"/>
      <c r="E5" s="555"/>
      <c r="F5" s="555"/>
      <c r="G5" s="29"/>
    </row>
    <row r="6" spans="2:15" ht="42" customHeight="1" x14ac:dyDescent="0.25">
      <c r="B6" s="558" t="s">
        <v>235</v>
      </c>
      <c r="C6" s="558"/>
      <c r="D6" s="559" t="s">
        <v>234</v>
      </c>
      <c r="E6" s="562" t="s">
        <v>241</v>
      </c>
      <c r="F6" s="563"/>
      <c r="G6" s="29"/>
    </row>
    <row r="7" spans="2:15" x14ac:dyDescent="0.25">
      <c r="B7" s="558" t="s">
        <v>232</v>
      </c>
      <c r="C7" s="558"/>
      <c r="D7" s="560"/>
      <c r="E7" s="564"/>
      <c r="F7" s="565"/>
      <c r="G7" s="29"/>
    </row>
    <row r="8" spans="2:15" x14ac:dyDescent="0.25">
      <c r="B8" s="558"/>
      <c r="C8" s="558"/>
      <c r="D8" s="561"/>
      <c r="E8" s="566"/>
      <c r="F8" s="567"/>
      <c r="G8" s="29"/>
    </row>
    <row r="9" spans="2:15" x14ac:dyDescent="0.25">
      <c r="B9" s="44"/>
      <c r="C9" s="44"/>
      <c r="D9" s="38"/>
      <c r="E9" s="43"/>
      <c r="F9" s="43"/>
      <c r="G9" s="29"/>
    </row>
    <row r="10" spans="2:15" x14ac:dyDescent="0.25">
      <c r="B10" s="37" t="s">
        <v>230</v>
      </c>
      <c r="C10" s="36" t="s">
        <v>229</v>
      </c>
      <c r="D10" s="36" t="s">
        <v>228</v>
      </c>
      <c r="E10" s="36" t="s">
        <v>227</v>
      </c>
      <c r="F10" s="35" t="s">
        <v>226</v>
      </c>
      <c r="G10" s="29"/>
    </row>
    <row r="11" spans="2:15" x14ac:dyDescent="0.25">
      <c r="B11" s="34" t="s">
        <v>225</v>
      </c>
      <c r="C11" s="33">
        <v>1.4999999999999999E-2</v>
      </c>
      <c r="D11" s="33">
        <v>3.4500000000000003E-2</v>
      </c>
      <c r="E11" s="33">
        <v>4.4900000000000002E-2</v>
      </c>
      <c r="F11" s="42">
        <v>3.4500000000000003E-2</v>
      </c>
      <c r="G11" s="29"/>
    </row>
    <row r="12" spans="2:15" x14ac:dyDescent="0.25">
      <c r="B12" s="34" t="s">
        <v>224</v>
      </c>
      <c r="C12" s="33">
        <v>3.0000000000000001E-3</v>
      </c>
      <c r="D12" s="33">
        <v>4.7999999999999996E-3</v>
      </c>
      <c r="E12" s="33">
        <v>8.2000000000000007E-3</v>
      </c>
      <c r="F12" s="42">
        <v>4.7999999999999996E-3</v>
      </c>
      <c r="G12" s="29"/>
    </row>
    <row r="13" spans="2:15" x14ac:dyDescent="0.25">
      <c r="B13" s="34" t="s">
        <v>223</v>
      </c>
      <c r="C13" s="33">
        <v>5.5999999999999999E-3</v>
      </c>
      <c r="D13" s="33">
        <v>8.5000000000000006E-3</v>
      </c>
      <c r="E13" s="33">
        <v>8.8999999999999999E-3</v>
      </c>
      <c r="F13" s="42">
        <v>8.5000000000000006E-3</v>
      </c>
      <c r="G13" s="29"/>
    </row>
    <row r="14" spans="2:15" x14ac:dyDescent="0.25">
      <c r="B14" s="34" t="s">
        <v>222</v>
      </c>
      <c r="C14" s="33">
        <v>8.5000000000000006E-3</v>
      </c>
      <c r="D14" s="33">
        <v>8.5000000000000006E-3</v>
      </c>
      <c r="E14" s="33">
        <v>1.11E-2</v>
      </c>
      <c r="F14" s="42">
        <v>8.5000000000000006E-3</v>
      </c>
      <c r="G14" s="29"/>
    </row>
    <row r="15" spans="2:15" x14ac:dyDescent="0.25">
      <c r="B15" s="34" t="s">
        <v>221</v>
      </c>
      <c r="C15" s="33">
        <v>3.5000000000000003E-2</v>
      </c>
      <c r="D15" s="33">
        <v>5.11E-2</v>
      </c>
      <c r="E15" s="33">
        <v>6.2199999999999998E-2</v>
      </c>
      <c r="F15" s="42">
        <v>5.11E-2</v>
      </c>
      <c r="G15" s="29"/>
    </row>
    <row r="16" spans="2:15" x14ac:dyDescent="0.25">
      <c r="B16" s="32" t="s">
        <v>220</v>
      </c>
      <c r="C16" s="31"/>
      <c r="D16" s="31"/>
      <c r="E16" s="31"/>
      <c r="F16" s="30">
        <f>SUM(F17:F20)</f>
        <v>3.6499999999999998E-2</v>
      </c>
      <c r="G16" s="29"/>
    </row>
    <row r="17" spans="2:7" s="24" customFormat="1" ht="12" x14ac:dyDescent="0.2">
      <c r="B17" s="28"/>
      <c r="C17" s="27"/>
      <c r="D17" s="27"/>
      <c r="E17" s="26" t="s">
        <v>219</v>
      </c>
      <c r="F17" s="41">
        <v>6.4999999999999997E-3</v>
      </c>
      <c r="G17" s="25"/>
    </row>
    <row r="18" spans="2:7" s="24" customFormat="1" ht="12" x14ac:dyDescent="0.2">
      <c r="B18" s="28"/>
      <c r="C18" s="27"/>
      <c r="D18" s="27"/>
      <c r="E18" s="26" t="s">
        <v>218</v>
      </c>
      <c r="F18" s="41">
        <v>0.03</v>
      </c>
      <c r="G18" s="25"/>
    </row>
    <row r="19" spans="2:7" s="24" customFormat="1" ht="12" x14ac:dyDescent="0.2">
      <c r="B19" s="28"/>
      <c r="C19" s="27"/>
      <c r="D19" s="27"/>
      <c r="E19" s="26" t="s">
        <v>217</v>
      </c>
      <c r="F19" s="41"/>
      <c r="G19" s="25"/>
    </row>
    <row r="20" spans="2:7" s="24" customFormat="1" ht="12" x14ac:dyDescent="0.2">
      <c r="B20" s="28"/>
      <c r="C20" s="27"/>
      <c r="D20" s="27"/>
      <c r="E20" s="26" t="s">
        <v>240</v>
      </c>
      <c r="F20" s="41"/>
      <c r="G20" s="25"/>
    </row>
    <row r="21" spans="2:7" s="21" customFormat="1" x14ac:dyDescent="0.25">
      <c r="B21" s="545" t="s">
        <v>215</v>
      </c>
      <c r="C21" s="546"/>
      <c r="D21" s="546"/>
      <c r="E21" s="546"/>
      <c r="F21" s="23">
        <v>0.15279999999999999</v>
      </c>
      <c r="G21" s="22"/>
    </row>
    <row r="23" spans="2:7" x14ac:dyDescent="0.25">
      <c r="B23" s="20" t="s">
        <v>214</v>
      </c>
    </row>
    <row r="24" spans="2:7" x14ac:dyDescent="0.25">
      <c r="B24" s="19"/>
    </row>
    <row r="25" spans="2:7" x14ac:dyDescent="0.25">
      <c r="B25" s="19"/>
    </row>
    <row r="26" spans="2:7" x14ac:dyDescent="0.25">
      <c r="B26" s="19"/>
    </row>
    <row r="27" spans="2:7" x14ac:dyDescent="0.25">
      <c r="B27" s="19"/>
    </row>
    <row r="28" spans="2:7" x14ac:dyDescent="0.25">
      <c r="B28" s="19"/>
    </row>
    <row r="29" spans="2:7" x14ac:dyDescent="0.25">
      <c r="B29" s="19" t="s">
        <v>213</v>
      </c>
    </row>
    <row r="30" spans="2:7" x14ac:dyDescent="0.25">
      <c r="B30" s="19" t="s">
        <v>212</v>
      </c>
    </row>
    <row r="31" spans="2:7" x14ac:dyDescent="0.25">
      <c r="B31" s="19" t="s">
        <v>211</v>
      </c>
    </row>
    <row r="32" spans="2:7" x14ac:dyDescent="0.25">
      <c r="B32" s="19" t="s">
        <v>210</v>
      </c>
    </row>
    <row r="33" spans="2:6" x14ac:dyDescent="0.25">
      <c r="B33" s="19" t="s">
        <v>209</v>
      </c>
    </row>
    <row r="34" spans="2:6" x14ac:dyDescent="0.25">
      <c r="B34" s="19" t="s">
        <v>208</v>
      </c>
    </row>
    <row r="35" spans="2:6" x14ac:dyDescent="0.25">
      <c r="B35" s="19" t="s">
        <v>207</v>
      </c>
    </row>
    <row r="36" spans="2:6" x14ac:dyDescent="0.25">
      <c r="B36" s="19" t="s">
        <v>239</v>
      </c>
    </row>
    <row r="37" spans="2:6" x14ac:dyDescent="0.25">
      <c r="B37" s="19" t="s">
        <v>238</v>
      </c>
    </row>
    <row r="38" spans="2:6" x14ac:dyDescent="0.25">
      <c r="B38" s="557" t="s">
        <v>204</v>
      </c>
      <c r="C38" s="557"/>
      <c r="D38" s="557"/>
      <c r="E38" s="557"/>
      <c r="F38" s="557"/>
    </row>
    <row r="39" spans="2:6" x14ac:dyDescent="0.25">
      <c r="B39" s="557"/>
      <c r="C39" s="557"/>
      <c r="D39" s="557"/>
      <c r="E39" s="557"/>
      <c r="F39" s="557"/>
    </row>
  </sheetData>
  <mergeCells count="13">
    <mergeCell ref="B38:F39"/>
    <mergeCell ref="B21:E21"/>
    <mergeCell ref="B6:C6"/>
    <mergeCell ref="B7:C8"/>
    <mergeCell ref="D6:D8"/>
    <mergeCell ref="E6:F8"/>
    <mergeCell ref="N1:O1"/>
    <mergeCell ref="N2:O2"/>
    <mergeCell ref="N3:O3"/>
    <mergeCell ref="B5:F5"/>
    <mergeCell ref="B1:F1"/>
    <mergeCell ref="B2:F2"/>
    <mergeCell ref="B3:F3"/>
  </mergeCells>
  <pageMargins left="0.51181102362204722" right="0.51181102362204722" top="0.78740157480314965" bottom="0.78740157480314965" header="0.31496062992125984" footer="0.31496062992125984"/>
  <pageSetup paperSize="9" scale="94" orientation="portrait" r:id="rId1"/>
  <headerFooter>
    <oddFooter>&amp;CR. Mte. Estanislau Panatier, 1199 - Jardim Monumento, Campo Grande - MS, CEP: 79063-000 – Fone (067) 3314-3600 - ramal 3640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tabSelected="1" view="pageBreakPreview" zoomScaleNormal="100" zoomScaleSheetLayoutView="100" workbookViewId="0">
      <selection activeCell="N58" sqref="N58"/>
    </sheetView>
  </sheetViews>
  <sheetFormatPr defaultColWidth="54.7109375" defaultRowHeight="9.75" x14ac:dyDescent="0.15"/>
  <cols>
    <col min="1" max="1" width="4.5703125" style="196" bestFit="1" customWidth="1"/>
    <col min="2" max="2" width="8.28515625" style="196" bestFit="1" customWidth="1"/>
    <col min="3" max="3" width="9.7109375" style="196" bestFit="1" customWidth="1"/>
    <col min="4" max="4" width="56" style="197" customWidth="1"/>
    <col min="5" max="5" width="9.140625" style="196" bestFit="1" customWidth="1"/>
    <col min="6" max="6" width="8.7109375" style="198" bestFit="1" customWidth="1"/>
    <col min="7" max="7" width="9" style="196" bestFit="1" customWidth="1"/>
    <col min="8" max="8" width="16" style="197" bestFit="1" customWidth="1"/>
    <col min="9" max="9" width="15.28515625" style="197" bestFit="1" customWidth="1"/>
    <col min="10" max="10" width="8.28515625" style="196" bestFit="1" customWidth="1"/>
    <col min="11" max="11" width="7.28515625" style="115" hidden="1" customWidth="1"/>
    <col min="12" max="12" width="13" style="115" hidden="1" customWidth="1"/>
    <col min="13" max="13" width="4" style="115" hidden="1" customWidth="1"/>
    <col min="14" max="16384" width="54.7109375" style="115"/>
  </cols>
  <sheetData>
    <row r="1" spans="1:12" x14ac:dyDescent="0.15">
      <c r="A1" s="114"/>
      <c r="B1" s="427" t="s">
        <v>112</v>
      </c>
      <c r="C1" s="427"/>
      <c r="D1" s="427"/>
      <c r="E1" s="427"/>
      <c r="F1" s="427"/>
      <c r="G1" s="427"/>
      <c r="H1" s="427"/>
      <c r="I1" s="427"/>
      <c r="J1" s="428"/>
    </row>
    <row r="2" spans="1:12" x14ac:dyDescent="0.15">
      <c r="A2" s="116"/>
      <c r="B2" s="429" t="s">
        <v>111</v>
      </c>
      <c r="C2" s="429"/>
      <c r="D2" s="429"/>
      <c r="E2" s="429"/>
      <c r="F2" s="429"/>
      <c r="G2" s="429"/>
      <c r="H2" s="429"/>
      <c r="I2" s="429"/>
      <c r="J2" s="430"/>
    </row>
    <row r="3" spans="1:12" x14ac:dyDescent="0.15">
      <c r="A3" s="116"/>
      <c r="B3" s="117"/>
      <c r="C3" s="117"/>
      <c r="D3" s="118"/>
      <c r="E3" s="117"/>
      <c r="F3" s="119"/>
      <c r="G3" s="117"/>
      <c r="H3" s="118"/>
      <c r="I3" s="118"/>
      <c r="J3" s="120"/>
    </row>
    <row r="4" spans="1:12" x14ac:dyDescent="0.15">
      <c r="A4" s="121"/>
      <c r="B4" s="117"/>
      <c r="C4" s="437" t="s">
        <v>110</v>
      </c>
      <c r="D4" s="437"/>
      <c r="E4" s="437"/>
      <c r="F4" s="437"/>
      <c r="G4" s="437"/>
      <c r="H4" s="437"/>
      <c r="I4" s="437"/>
      <c r="J4" s="122"/>
    </row>
    <row r="5" spans="1:12" x14ac:dyDescent="0.15">
      <c r="A5" s="121"/>
      <c r="B5" s="123"/>
      <c r="C5" s="437"/>
      <c r="D5" s="437"/>
      <c r="E5" s="437"/>
      <c r="F5" s="437"/>
      <c r="G5" s="437"/>
      <c r="H5" s="437"/>
      <c r="I5" s="437"/>
      <c r="J5" s="122"/>
    </row>
    <row r="6" spans="1:12" x14ac:dyDescent="0.15">
      <c r="A6" s="124"/>
      <c r="B6" s="125"/>
      <c r="C6" s="125"/>
      <c r="D6" s="118"/>
      <c r="E6" s="126" t="s">
        <v>109</v>
      </c>
      <c r="F6" s="435" t="s">
        <v>108</v>
      </c>
      <c r="G6" s="435"/>
      <c r="H6" s="127" t="s">
        <v>107</v>
      </c>
      <c r="I6" s="435" t="s">
        <v>106</v>
      </c>
      <c r="J6" s="436"/>
    </row>
    <row r="7" spans="1:12" x14ac:dyDescent="0.15">
      <c r="A7" s="124"/>
      <c r="B7" s="125"/>
      <c r="C7" s="125"/>
      <c r="D7" s="128"/>
      <c r="E7" s="125"/>
      <c r="F7" s="129"/>
      <c r="G7" s="117"/>
      <c r="H7" s="118"/>
      <c r="I7" s="127" t="s">
        <v>105</v>
      </c>
      <c r="J7" s="130">
        <v>0.26540000000000002</v>
      </c>
      <c r="K7" s="342">
        <v>0.32950000000000002</v>
      </c>
    </row>
    <row r="8" spans="1:12" x14ac:dyDescent="0.15">
      <c r="A8" s="124"/>
      <c r="B8" s="125"/>
      <c r="C8" s="125"/>
      <c r="D8" s="128"/>
      <c r="E8" s="125"/>
      <c r="F8" s="129"/>
      <c r="G8" s="117"/>
      <c r="H8" s="118"/>
      <c r="I8" s="127" t="s">
        <v>104</v>
      </c>
      <c r="J8" s="130">
        <v>0.15279999999999999</v>
      </c>
    </row>
    <row r="9" spans="1:12" x14ac:dyDescent="0.15">
      <c r="A9" s="124"/>
      <c r="B9" s="125"/>
      <c r="C9" s="125"/>
      <c r="D9" s="128"/>
      <c r="E9" s="125"/>
      <c r="F9" s="129"/>
      <c r="G9" s="117"/>
      <c r="H9" s="118"/>
      <c r="I9" s="131"/>
      <c r="J9" s="132"/>
    </row>
    <row r="10" spans="1:12" s="137" customFormat="1" x14ac:dyDescent="0.15">
      <c r="A10" s="133" t="s">
        <v>103</v>
      </c>
      <c r="B10" s="134" t="s">
        <v>102</v>
      </c>
      <c r="C10" s="134" t="s">
        <v>101</v>
      </c>
      <c r="D10" s="134" t="s">
        <v>100</v>
      </c>
      <c r="E10" s="134" t="s">
        <v>99</v>
      </c>
      <c r="F10" s="135" t="s">
        <v>98</v>
      </c>
      <c r="G10" s="134" t="s">
        <v>97</v>
      </c>
      <c r="H10" s="134" t="s">
        <v>96</v>
      </c>
      <c r="I10" s="134" t="s">
        <v>95</v>
      </c>
      <c r="J10" s="136" t="s">
        <v>94</v>
      </c>
    </row>
    <row r="11" spans="1:12" x14ac:dyDescent="0.15">
      <c r="A11" s="138">
        <v>1</v>
      </c>
      <c r="B11" s="91"/>
      <c r="C11" s="91"/>
      <c r="D11" s="90" t="s">
        <v>8</v>
      </c>
      <c r="E11" s="91"/>
      <c r="F11" s="139"/>
      <c r="G11" s="91"/>
      <c r="H11" s="90"/>
      <c r="I11" s="90"/>
      <c r="J11" s="140"/>
    </row>
    <row r="12" spans="1:12" x14ac:dyDescent="0.15">
      <c r="A12" s="141" t="s">
        <v>92</v>
      </c>
      <c r="B12" s="93" t="s">
        <v>91</v>
      </c>
      <c r="C12" s="93" t="s">
        <v>40</v>
      </c>
      <c r="D12" s="92" t="s">
        <v>90</v>
      </c>
      <c r="E12" s="93" t="s">
        <v>86</v>
      </c>
      <c r="F12" s="142">
        <f>'MEMÓRIA DE CALCULO'!D11</f>
        <v>171.29050000000001</v>
      </c>
      <c r="G12" s="94">
        <v>30.22</v>
      </c>
      <c r="H12" s="143">
        <f>TRUNC((G12*$J$7)+G12,2)</f>
        <v>38.24</v>
      </c>
      <c r="I12" s="143">
        <f>TRUNC(F12*H12,2)</f>
        <v>6550.14</v>
      </c>
      <c r="J12" s="144">
        <f>I12/$I$47</f>
        <v>3.3718896816435345E-3</v>
      </c>
      <c r="K12" s="115">
        <f>TRUNC(G12*(1+$K$7),2)</f>
        <v>40.17</v>
      </c>
      <c r="L12" s="115">
        <f>TRUNC(K12*F12,2)</f>
        <v>6880.73</v>
      </c>
    </row>
    <row r="13" spans="1:12" x14ac:dyDescent="0.15">
      <c r="A13" s="141" t="s">
        <v>89</v>
      </c>
      <c r="B13" s="93" t="s">
        <v>88</v>
      </c>
      <c r="C13" s="93" t="s">
        <v>40</v>
      </c>
      <c r="D13" s="92" t="s">
        <v>87</v>
      </c>
      <c r="E13" s="93" t="s">
        <v>86</v>
      </c>
      <c r="F13" s="142">
        <f>'MEMÓRIA DE CALCULO'!D12</f>
        <v>171.29050000000001</v>
      </c>
      <c r="G13" s="94">
        <v>23.56</v>
      </c>
      <c r="H13" s="143">
        <f>TRUNC((G13*$J$7)+G13,2)</f>
        <v>29.81</v>
      </c>
      <c r="I13" s="143">
        <f>TRUNC(F13*H13,2)</f>
        <v>5106.16</v>
      </c>
      <c r="J13" s="144">
        <f>I13/$I$47</f>
        <v>2.6285557586282044E-3</v>
      </c>
      <c r="K13" s="115">
        <f t="shared" ref="K13:K15" si="0">TRUNC(G13*(1+$K$7),2)</f>
        <v>31.32</v>
      </c>
      <c r="L13" s="115">
        <f t="shared" ref="L13:L15" si="1">TRUNC(K13*F13,2)</f>
        <v>5364.81</v>
      </c>
    </row>
    <row r="14" spans="1:12" ht="19.5" x14ac:dyDescent="0.15">
      <c r="A14" s="141" t="s">
        <v>85</v>
      </c>
      <c r="B14" s="93">
        <v>92145</v>
      </c>
      <c r="C14" s="93" t="s">
        <v>40</v>
      </c>
      <c r="D14" s="92" t="s">
        <v>84</v>
      </c>
      <c r="E14" s="93" t="s">
        <v>83</v>
      </c>
      <c r="F14" s="142">
        <f>'MEMÓRIA DE CALCULO'!D13</f>
        <v>85.581000000000003</v>
      </c>
      <c r="G14" s="94">
        <v>77.19</v>
      </c>
      <c r="H14" s="143">
        <f>TRUNC((G14*$J$7)+G14,2)</f>
        <v>97.67</v>
      </c>
      <c r="I14" s="143">
        <f>TRUNC(F14*H14,2)</f>
        <v>8358.69</v>
      </c>
      <c r="J14" s="144">
        <f>I14/$I$47</f>
        <v>4.3028974286132803E-3</v>
      </c>
      <c r="K14" s="115">
        <f t="shared" si="0"/>
        <v>102.62</v>
      </c>
      <c r="L14" s="115">
        <f t="shared" si="1"/>
        <v>8782.32</v>
      </c>
    </row>
    <row r="15" spans="1:12" ht="19.5" x14ac:dyDescent="0.15">
      <c r="A15" s="141" t="s">
        <v>82</v>
      </c>
      <c r="B15" s="93">
        <v>92146</v>
      </c>
      <c r="C15" s="93" t="s">
        <v>40</v>
      </c>
      <c r="D15" s="92" t="s">
        <v>81</v>
      </c>
      <c r="E15" s="93" t="s">
        <v>80</v>
      </c>
      <c r="F15" s="142">
        <f>'MEMÓRIA DE CALCULO'!D14</f>
        <v>85.581000000000003</v>
      </c>
      <c r="G15" s="94">
        <v>31.43</v>
      </c>
      <c r="H15" s="143">
        <f>TRUNC((G15*$J$7)+G15,2)</f>
        <v>39.770000000000003</v>
      </c>
      <c r="I15" s="143">
        <f>TRUNC(F15*H15,2)</f>
        <v>3403.55</v>
      </c>
      <c r="J15" s="144">
        <f>I15/$I$47</f>
        <v>1.7520839441535375E-3</v>
      </c>
      <c r="K15" s="115">
        <f t="shared" si="0"/>
        <v>41.78</v>
      </c>
      <c r="L15" s="115">
        <f t="shared" si="1"/>
        <v>3575.57</v>
      </c>
    </row>
    <row r="16" spans="1:12" x14ac:dyDescent="0.15">
      <c r="A16" s="145"/>
      <c r="B16" s="146"/>
      <c r="C16" s="146"/>
      <c r="D16" s="147"/>
      <c r="E16" s="146"/>
      <c r="F16" s="148"/>
      <c r="G16" s="397" t="s">
        <v>79</v>
      </c>
      <c r="H16" s="397"/>
      <c r="I16" s="149">
        <f>TRUNC(SUM(I12:I15),2)</f>
        <v>23418.54</v>
      </c>
      <c r="J16" s="144">
        <f>I16/$I$47</f>
        <v>1.2055426813038558E-2</v>
      </c>
      <c r="K16" s="115" t="s">
        <v>95</v>
      </c>
      <c r="L16" s="343">
        <f>SUM(L12:L15)</f>
        <v>24603.43</v>
      </c>
    </row>
    <row r="17" spans="1:20" x14ac:dyDescent="0.15">
      <c r="A17" s="150">
        <v>2</v>
      </c>
      <c r="B17" s="151"/>
      <c r="C17" s="151"/>
      <c r="D17" s="152" t="s">
        <v>77</v>
      </c>
      <c r="E17" s="151"/>
      <c r="F17" s="153"/>
      <c r="G17" s="151"/>
      <c r="H17" s="152"/>
      <c r="I17" s="152"/>
      <c r="J17" s="154"/>
    </row>
    <row r="18" spans="1:20" ht="19.5" x14ac:dyDescent="0.15">
      <c r="A18" s="141" t="s">
        <v>76</v>
      </c>
      <c r="B18" s="93" t="s">
        <v>75</v>
      </c>
      <c r="C18" s="93" t="s">
        <v>57</v>
      </c>
      <c r="D18" s="155" t="str">
        <f>'COMP. PRÓPRIA'!D10</f>
        <v>INSTALAÇÃO E DESINSTALAÇÃO DE DESCIDA DE MANGUEIRA LUMINOSA LED 100 MTS ACIMA DE 12 A 22 M DE ALTURA - FORNECIMENTO E INSTALAÇÃO</v>
      </c>
      <c r="E18" s="93" t="s">
        <v>25</v>
      </c>
      <c r="F18" s="94">
        <f>'MEMÓRIA DE CALCULO'!D16</f>
        <v>487</v>
      </c>
      <c r="G18" s="94">
        <f>'COMP. PRÓPRIA'!H10</f>
        <v>249.71</v>
      </c>
      <c r="H18" s="143">
        <f t="shared" ref="H18:H24" si="2">TRUNC((G18*$J$7)+G18,2)</f>
        <v>315.98</v>
      </c>
      <c r="I18" s="143">
        <f t="shared" ref="I18:I24" si="3">TRUNC(F18*H18,2)</f>
        <v>153882.26</v>
      </c>
      <c r="J18" s="144">
        <f t="shared" ref="J18:J25" si="4">I18/$I$47</f>
        <v>7.9215712134700564E-2</v>
      </c>
      <c r="K18" s="115">
        <f>TRUNC(G18*(1+$K$7),2)</f>
        <v>331.98</v>
      </c>
      <c r="L18" s="115">
        <f>TRUNC(K18*F18,2)</f>
        <v>161674.26</v>
      </c>
    </row>
    <row r="19" spans="1:20" ht="19.5" x14ac:dyDescent="0.15">
      <c r="A19" s="141" t="s">
        <v>74</v>
      </c>
      <c r="B19" s="93" t="s">
        <v>73</v>
      </c>
      <c r="C19" s="93" t="s">
        <v>57</v>
      </c>
      <c r="D19" s="92" t="str">
        <f>'COMP. PRÓPRIA'!D18</f>
        <v>INSTALAÇÃO E DESINSTALAÇÃO DE DESCIDA DE MANGUEIRA LUMINOSA LED 100 MTS ACIMA DE 6 A 12 M DE ALTURA - FORNECIMENTO E INSTALAÇÃO</v>
      </c>
      <c r="E19" s="93" t="s">
        <v>25</v>
      </c>
      <c r="F19" s="94">
        <f>'MEMÓRIA DE CALCULO'!D17</f>
        <v>436</v>
      </c>
      <c r="G19" s="94">
        <f>'COMP. PRÓPRIA'!H18</f>
        <v>52.85</v>
      </c>
      <c r="H19" s="143">
        <f t="shared" si="2"/>
        <v>66.87</v>
      </c>
      <c r="I19" s="143">
        <f t="shared" si="3"/>
        <v>29155.32</v>
      </c>
      <c r="J19" s="144">
        <f t="shared" si="4"/>
        <v>1.5008613964436694E-2</v>
      </c>
      <c r="K19" s="115">
        <f t="shared" ref="K19:K24" si="5">TRUNC(G19*(1+$K$7),2)</f>
        <v>70.260000000000005</v>
      </c>
      <c r="L19" s="115">
        <f t="shared" ref="L19:L24" si="6">TRUNC(K19*F19,2)</f>
        <v>30633.360000000001</v>
      </c>
    </row>
    <row r="20" spans="1:20" ht="19.5" x14ac:dyDescent="0.15">
      <c r="A20" s="141" t="s">
        <v>71</v>
      </c>
      <c r="B20" s="93" t="s">
        <v>70</v>
      </c>
      <c r="C20" s="93" t="s">
        <v>57</v>
      </c>
      <c r="D20" s="92" t="str">
        <f>'COMP. PRÓPRIA'!D25</f>
        <v>INSTALAÇÃO E DESINSTALAÇÃO DE DESCIDA DE MANGUEIRA LUMINOSA LED 100 MTS ACIMA DE 0 A 6 M DE ALTURA - FORNECIMENTO E INSTALAÇÃO</v>
      </c>
      <c r="E20" s="93" t="s">
        <v>25</v>
      </c>
      <c r="F20" s="94">
        <f>'MEMÓRIA DE CALCULO'!D18</f>
        <v>156</v>
      </c>
      <c r="G20" s="94">
        <f>'COMP. PRÓPRIA'!H25</f>
        <v>31.7</v>
      </c>
      <c r="H20" s="143">
        <f t="shared" si="2"/>
        <v>40.11</v>
      </c>
      <c r="I20" s="143">
        <f t="shared" si="3"/>
        <v>6257.16</v>
      </c>
      <c r="J20" s="144">
        <f t="shared" si="4"/>
        <v>3.2210690520191407E-3</v>
      </c>
      <c r="K20" s="115">
        <f t="shared" si="5"/>
        <v>42.14</v>
      </c>
      <c r="L20" s="115">
        <f t="shared" si="6"/>
        <v>6573.84</v>
      </c>
    </row>
    <row r="21" spans="1:20" ht="19.5" x14ac:dyDescent="0.15">
      <c r="A21" s="141" t="s">
        <v>68</v>
      </c>
      <c r="B21" s="93" t="s">
        <v>67</v>
      </c>
      <c r="C21" s="93" t="s">
        <v>57</v>
      </c>
      <c r="D21" s="92" t="str">
        <f>'COMP. PRÓPRIA'!D32</f>
        <v>INSTALAÇÃO E DESINSTALAÇÃO DE CORDÃO LUMINOSO LED 100 E 120 LEDS ACIMA DE 0 A 12 M DE ALTURA - FORNECIMENTO E INSTALAÇÃO</v>
      </c>
      <c r="E21" s="93" t="s">
        <v>20</v>
      </c>
      <c r="F21" s="94">
        <f>'MEMÓRIA DE CALCULO'!D19</f>
        <v>1904</v>
      </c>
      <c r="G21" s="94">
        <f>'COMP. PRÓPRIA'!H32</f>
        <v>42.28</v>
      </c>
      <c r="H21" s="143">
        <f t="shared" si="2"/>
        <v>53.5</v>
      </c>
      <c r="I21" s="143">
        <f t="shared" si="3"/>
        <v>101864</v>
      </c>
      <c r="J21" s="144">
        <f t="shared" si="4"/>
        <v>5.2437683855755292E-2</v>
      </c>
      <c r="K21" s="115">
        <f t="shared" si="5"/>
        <v>56.21</v>
      </c>
      <c r="L21" s="115">
        <f t="shared" si="6"/>
        <v>107023.84</v>
      </c>
    </row>
    <row r="22" spans="1:20" ht="19.5" x14ac:dyDescent="0.15">
      <c r="A22" s="141" t="s">
        <v>65</v>
      </c>
      <c r="B22" s="93" t="s">
        <v>64</v>
      </c>
      <c r="C22" s="93" t="s">
        <v>57</v>
      </c>
      <c r="D22" s="92" t="str">
        <f>'COMP. PRÓPRIA'!D39</f>
        <v>INSTALAÇÃO E DESINSTALAÇÃO DE CORDÃO LED STROBO EM ESTRUTURAS DE 0 ATÉ 6 M DE ALTURA</v>
      </c>
      <c r="E22" s="156" t="s">
        <v>140</v>
      </c>
      <c r="F22" s="94">
        <f>'MEMÓRIA DE CALCULO'!D20</f>
        <v>12</v>
      </c>
      <c r="G22" s="94">
        <f>'COMP. PRÓPRIA'!H39</f>
        <v>42.28</v>
      </c>
      <c r="H22" s="143">
        <f t="shared" si="2"/>
        <v>53.5</v>
      </c>
      <c r="I22" s="143">
        <f t="shared" si="3"/>
        <v>642</v>
      </c>
      <c r="J22" s="144">
        <f t="shared" si="4"/>
        <v>3.304896041329115E-4</v>
      </c>
      <c r="K22" s="115">
        <f t="shared" si="5"/>
        <v>56.21</v>
      </c>
      <c r="L22" s="115">
        <f t="shared" si="6"/>
        <v>674.52</v>
      </c>
    </row>
    <row r="23" spans="1:20" ht="19.5" x14ac:dyDescent="0.15">
      <c r="A23" s="141" t="s">
        <v>62</v>
      </c>
      <c r="B23" s="93" t="s">
        <v>61</v>
      </c>
      <c r="C23" s="93" t="s">
        <v>57</v>
      </c>
      <c r="D23" s="92" t="str">
        <f>'COMP. PRÓPRIA'!D46</f>
        <v>INSTALAÇÃO E DESINSTALAÇÃO DE REFLETOR EM ESTRUTURAS DE 0 ATÉ 6 M DE ALTURA</v>
      </c>
      <c r="E23" s="93" t="s">
        <v>13</v>
      </c>
      <c r="F23" s="94">
        <f>'MEMÓRIA DE CALCULO'!D21</f>
        <v>309</v>
      </c>
      <c r="G23" s="94">
        <f>'COMP. PRÓPRIA'!H46</f>
        <v>31.7</v>
      </c>
      <c r="H23" s="143">
        <f t="shared" si="2"/>
        <v>40.11</v>
      </c>
      <c r="I23" s="143">
        <f t="shared" si="3"/>
        <v>12393.99</v>
      </c>
      <c r="J23" s="144">
        <f t="shared" si="4"/>
        <v>6.3801944684225296E-3</v>
      </c>
      <c r="K23" s="115">
        <f t="shared" si="5"/>
        <v>42.14</v>
      </c>
      <c r="L23" s="115">
        <f t="shared" si="6"/>
        <v>13021.26</v>
      </c>
    </row>
    <row r="24" spans="1:20" ht="19.5" x14ac:dyDescent="0.15">
      <c r="A24" s="141" t="s">
        <v>59</v>
      </c>
      <c r="B24" s="93" t="s">
        <v>58</v>
      </c>
      <c r="C24" s="93" t="s">
        <v>57</v>
      </c>
      <c r="D24" s="157" t="str">
        <f>'COMP. PRÓPRIA'!D53</f>
        <v>INSTALAÇÃO E DESINSTALAÇÃO DE ESTRUTURAS METALICAS PARA DECORAÇÃO NATALINA</v>
      </c>
      <c r="E24" s="93" t="s">
        <v>13</v>
      </c>
      <c r="F24" s="94">
        <f>'MEMÓRIA DE CALCULO'!D22</f>
        <v>1148</v>
      </c>
      <c r="G24" s="94">
        <f>'COMP. PRÓPRIA'!H53</f>
        <v>90.01</v>
      </c>
      <c r="H24" s="143">
        <f t="shared" si="2"/>
        <v>113.89</v>
      </c>
      <c r="I24" s="143">
        <f t="shared" si="3"/>
        <v>130745.72</v>
      </c>
      <c r="J24" s="144">
        <f t="shared" si="4"/>
        <v>6.730545365244936E-2</v>
      </c>
      <c r="K24" s="115">
        <f t="shared" si="5"/>
        <v>119.66</v>
      </c>
      <c r="L24" s="115">
        <f t="shared" si="6"/>
        <v>137369.68</v>
      </c>
    </row>
    <row r="25" spans="1:20" x14ac:dyDescent="0.15">
      <c r="A25" s="145"/>
      <c r="B25" s="146">
        <f>F24*0.4</f>
        <v>459.20000000000005</v>
      </c>
      <c r="C25" s="146"/>
      <c r="D25" s="400">
        <f>SUM(F18:F20)</f>
        <v>1079</v>
      </c>
      <c r="E25" s="146">
        <f>D25*0.4</f>
        <v>431.6</v>
      </c>
      <c r="F25" s="158"/>
      <c r="G25" s="397" t="s">
        <v>55</v>
      </c>
      <c r="H25" s="397"/>
      <c r="I25" s="149">
        <f>TRUNC(SUM(I18:I24),2)</f>
        <v>434940.45</v>
      </c>
      <c r="J25" s="144">
        <f t="shared" si="4"/>
        <v>0.22389921673191648</v>
      </c>
      <c r="K25" s="115" t="s">
        <v>95</v>
      </c>
      <c r="L25" s="343">
        <f>SUM(L18:L24)</f>
        <v>456970.76</v>
      </c>
    </row>
    <row r="26" spans="1:20" x14ac:dyDescent="0.15">
      <c r="A26" s="159">
        <v>3</v>
      </c>
      <c r="B26" s="151"/>
      <c r="C26" s="151"/>
      <c r="D26" s="152" t="s">
        <v>4</v>
      </c>
      <c r="E26" s="151"/>
      <c r="F26" s="153"/>
      <c r="G26" s="151"/>
      <c r="H26" s="152"/>
      <c r="I26" s="160"/>
      <c r="J26" s="154"/>
      <c r="K26" s="161"/>
      <c r="L26" s="161"/>
      <c r="M26" s="161"/>
      <c r="N26" s="161"/>
      <c r="O26" s="161"/>
      <c r="P26" s="161"/>
      <c r="Q26" s="162"/>
      <c r="R26" s="162"/>
      <c r="S26" s="162"/>
      <c r="T26" s="163"/>
    </row>
    <row r="27" spans="1:20" ht="19.5" x14ac:dyDescent="0.15">
      <c r="A27" s="164" t="s">
        <v>54</v>
      </c>
      <c r="B27" s="165">
        <v>1013</v>
      </c>
      <c r="C27" s="165" t="s">
        <v>40</v>
      </c>
      <c r="D27" s="166" t="s">
        <v>53</v>
      </c>
      <c r="E27" s="165" t="s">
        <v>48</v>
      </c>
      <c r="F27" s="167">
        <f>'MEMÓRIA DE CALCULO'!D24</f>
        <v>17879.03</v>
      </c>
      <c r="G27" s="168">
        <v>1.46</v>
      </c>
      <c r="H27" s="401">
        <f t="shared" ref="H27:H44" si="7">TRUNC((G27*$J$8)+G27,2)</f>
        <v>1.68</v>
      </c>
      <c r="I27" s="169">
        <f t="shared" ref="I27:I44" si="8">TRUNC(F27*H27,2)</f>
        <v>30036.77</v>
      </c>
      <c r="J27" s="144">
        <f t="shared" ref="J27:J45" si="9">I27/$I$47</f>
        <v>1.5462367954410144E-2</v>
      </c>
      <c r="K27" s="161">
        <f>TRUNC(G27*(1+$J$8),2)</f>
        <v>1.68</v>
      </c>
      <c r="L27" s="161">
        <f>TRUNC(K27*F27,2)</f>
        <v>30036.77</v>
      </c>
      <c r="M27" s="161"/>
      <c r="N27" s="161"/>
      <c r="O27" s="161"/>
      <c r="P27" s="161"/>
      <c r="Q27" s="162"/>
      <c r="R27" s="162"/>
      <c r="S27" s="162"/>
      <c r="T27" s="163"/>
    </row>
    <row r="28" spans="1:20" ht="19.5" x14ac:dyDescent="0.15">
      <c r="A28" s="164" t="s">
        <v>52</v>
      </c>
      <c r="B28" s="165">
        <v>1014</v>
      </c>
      <c r="C28" s="165" t="s">
        <v>40</v>
      </c>
      <c r="D28" s="166" t="s">
        <v>51</v>
      </c>
      <c r="E28" s="165" t="s">
        <v>48</v>
      </c>
      <c r="F28" s="167">
        <f>'MEMÓRIA DE CALCULO'!D25</f>
        <v>3476.25</v>
      </c>
      <c r="G28" s="168">
        <v>2.31</v>
      </c>
      <c r="H28" s="401">
        <f t="shared" si="7"/>
        <v>2.66</v>
      </c>
      <c r="I28" s="169">
        <f t="shared" si="8"/>
        <v>9246.82</v>
      </c>
      <c r="J28" s="144">
        <f t="shared" si="9"/>
        <v>4.7600901577699202E-3</v>
      </c>
      <c r="K28" s="161">
        <f t="shared" ref="K28:K44" si="10">TRUNC(G28*(1+$J$8),2)</f>
        <v>2.66</v>
      </c>
      <c r="L28" s="161">
        <f t="shared" ref="L28:L44" si="11">TRUNC(K28*F28,2)</f>
        <v>9246.82</v>
      </c>
      <c r="M28" s="161"/>
      <c r="N28" s="161"/>
      <c r="O28" s="161"/>
      <c r="P28" s="161"/>
      <c r="Q28" s="162"/>
      <c r="R28" s="162"/>
      <c r="S28" s="162"/>
      <c r="T28" s="163"/>
    </row>
    <row r="29" spans="1:20" ht="19.5" x14ac:dyDescent="0.15">
      <c r="A29" s="170" t="s">
        <v>50</v>
      </c>
      <c r="B29" s="165">
        <v>981</v>
      </c>
      <c r="C29" s="165" t="s">
        <v>40</v>
      </c>
      <c r="D29" s="166" t="s">
        <v>49</v>
      </c>
      <c r="E29" s="165" t="s">
        <v>48</v>
      </c>
      <c r="F29" s="167">
        <f>'MEMÓRIA DE CALCULO'!D26</f>
        <v>6188</v>
      </c>
      <c r="G29" s="168">
        <v>3.83</v>
      </c>
      <c r="H29" s="401">
        <f t="shared" si="7"/>
        <v>4.41</v>
      </c>
      <c r="I29" s="169">
        <f t="shared" si="8"/>
        <v>27289.08</v>
      </c>
      <c r="J29" s="144">
        <f t="shared" si="9"/>
        <v>1.4047908483413323E-2</v>
      </c>
      <c r="K29" s="161">
        <f t="shared" si="10"/>
        <v>4.41</v>
      </c>
      <c r="L29" s="161">
        <f t="shared" si="11"/>
        <v>27289.08</v>
      </c>
      <c r="M29" s="161"/>
      <c r="N29" s="161"/>
      <c r="O29" s="161"/>
      <c r="P29" s="161"/>
      <c r="Q29" s="162"/>
      <c r="R29" s="162"/>
      <c r="S29" s="162"/>
      <c r="T29" s="163"/>
    </row>
    <row r="30" spans="1:20" ht="19.5" x14ac:dyDescent="0.15">
      <c r="A30" s="164" t="s">
        <v>47</v>
      </c>
      <c r="B30" s="165">
        <v>20111</v>
      </c>
      <c r="C30" s="165" t="s">
        <v>40</v>
      </c>
      <c r="D30" s="166" t="s">
        <v>46</v>
      </c>
      <c r="E30" s="165" t="s">
        <v>13</v>
      </c>
      <c r="F30" s="167">
        <f>'MEMÓRIA DE CALCULO'!D27</f>
        <v>333</v>
      </c>
      <c r="G30" s="168">
        <v>12.24</v>
      </c>
      <c r="H30" s="401">
        <f t="shared" si="7"/>
        <v>14.11</v>
      </c>
      <c r="I30" s="169">
        <f t="shared" si="8"/>
        <v>4698.63</v>
      </c>
      <c r="J30" s="144">
        <f t="shared" si="9"/>
        <v>2.4187669293878845E-3</v>
      </c>
      <c r="K30" s="161">
        <f t="shared" si="10"/>
        <v>14.11</v>
      </c>
      <c r="L30" s="161">
        <f t="shared" si="11"/>
        <v>4698.63</v>
      </c>
      <c r="M30" s="161"/>
      <c r="N30" s="161"/>
      <c r="O30" s="161"/>
      <c r="P30" s="161"/>
      <c r="Q30" s="162"/>
      <c r="R30" s="162"/>
      <c r="S30" s="162"/>
      <c r="T30" s="163"/>
    </row>
    <row r="31" spans="1:20" ht="19.5" x14ac:dyDescent="0.15">
      <c r="A31" s="164" t="s">
        <v>45</v>
      </c>
      <c r="B31" s="165">
        <v>411</v>
      </c>
      <c r="C31" s="165" t="s">
        <v>40</v>
      </c>
      <c r="D31" s="166" t="s">
        <v>44</v>
      </c>
      <c r="E31" s="165" t="s">
        <v>13</v>
      </c>
      <c r="F31" s="167">
        <f>'MEMÓRIA DE CALCULO'!D28</f>
        <v>253702.39999999999</v>
      </c>
      <c r="G31" s="168">
        <v>0.28999999999999998</v>
      </c>
      <c r="H31" s="401">
        <f t="shared" si="7"/>
        <v>0.33</v>
      </c>
      <c r="I31" s="169">
        <f t="shared" si="8"/>
        <v>83721.789999999994</v>
      </c>
      <c r="J31" s="144">
        <f t="shared" si="9"/>
        <v>4.3098413137692748E-2</v>
      </c>
      <c r="K31" s="161">
        <f t="shared" si="10"/>
        <v>0.33</v>
      </c>
      <c r="L31" s="161">
        <f t="shared" si="11"/>
        <v>83721.789999999994</v>
      </c>
      <c r="M31" s="161"/>
      <c r="N31" s="161"/>
      <c r="O31" s="161"/>
      <c r="P31" s="161"/>
      <c r="Q31" s="162"/>
      <c r="R31" s="162"/>
      <c r="S31" s="162"/>
      <c r="T31" s="163"/>
    </row>
    <row r="32" spans="1:20" ht="19.5" x14ac:dyDescent="0.15">
      <c r="A32" s="170" t="s">
        <v>43</v>
      </c>
      <c r="B32" s="165">
        <v>43132</v>
      </c>
      <c r="C32" s="165" t="s">
        <v>40</v>
      </c>
      <c r="D32" s="166" t="s">
        <v>42</v>
      </c>
      <c r="E32" s="165" t="s">
        <v>38</v>
      </c>
      <c r="F32" s="167">
        <f>'MEMÓRIA DE CALCULO'!D29</f>
        <v>2131.1999999999998</v>
      </c>
      <c r="G32" s="168">
        <v>19.78</v>
      </c>
      <c r="H32" s="401">
        <f t="shared" si="7"/>
        <v>22.8</v>
      </c>
      <c r="I32" s="169">
        <f t="shared" si="8"/>
        <v>48591.360000000001</v>
      </c>
      <c r="J32" s="144">
        <f t="shared" si="9"/>
        <v>2.5013924191090015E-2</v>
      </c>
      <c r="K32" s="161">
        <f t="shared" si="10"/>
        <v>22.8</v>
      </c>
      <c r="L32" s="161">
        <f t="shared" si="11"/>
        <v>48591.360000000001</v>
      </c>
      <c r="M32" s="161">
        <f>TRUNC(G32*(1+0.1528),2)</f>
        <v>22.8</v>
      </c>
      <c r="N32" s="161"/>
      <c r="O32" s="161"/>
      <c r="P32" s="161"/>
      <c r="Q32" s="162"/>
      <c r="R32" s="162"/>
      <c r="S32" s="162"/>
      <c r="T32" s="163"/>
    </row>
    <row r="33" spans="1:20" x14ac:dyDescent="0.15">
      <c r="A33" s="164" t="s">
        <v>41</v>
      </c>
      <c r="B33" s="165">
        <v>43053</v>
      </c>
      <c r="C33" s="165" t="s">
        <v>40</v>
      </c>
      <c r="D33" s="166" t="s">
        <v>39</v>
      </c>
      <c r="E33" s="165" t="s">
        <v>38</v>
      </c>
      <c r="F33" s="167">
        <f>'MEMÓRIA DE CALCULO'!D30</f>
        <v>1332</v>
      </c>
      <c r="G33" s="168">
        <v>7.79</v>
      </c>
      <c r="H33" s="401">
        <f t="shared" si="7"/>
        <v>8.98</v>
      </c>
      <c r="I33" s="169">
        <f t="shared" si="8"/>
        <v>11961.36</v>
      </c>
      <c r="J33" s="144">
        <f t="shared" si="9"/>
        <v>6.1574846281795053E-3</v>
      </c>
      <c r="K33" s="161">
        <f t="shared" si="10"/>
        <v>8.98</v>
      </c>
      <c r="L33" s="161">
        <f t="shared" si="11"/>
        <v>11961.36</v>
      </c>
      <c r="M33" s="161"/>
      <c r="N33" s="161"/>
      <c r="O33" s="161"/>
      <c r="P33" s="161"/>
      <c r="Q33" s="162"/>
      <c r="R33" s="162"/>
      <c r="S33" s="162"/>
      <c r="T33" s="163"/>
    </row>
    <row r="34" spans="1:20" ht="58.5" x14ac:dyDescent="0.15">
      <c r="A34" s="164" t="s">
        <v>37</v>
      </c>
      <c r="B34" s="165"/>
      <c r="C34" s="165" t="s">
        <v>36</v>
      </c>
      <c r="D34" s="171" t="str">
        <f>'MAPA DE COTAÇÃO'!B8</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BRANCO QUENTE.</v>
      </c>
      <c r="E34" s="165" t="s">
        <v>25</v>
      </c>
      <c r="F34" s="167">
        <f>'MEMÓRIA DE CALCULO'!D31</f>
        <v>491</v>
      </c>
      <c r="G34" s="168">
        <f>'MAPA COTAÇÃO'!H8</f>
        <v>908.37</v>
      </c>
      <c r="H34" s="401">
        <f t="shared" si="7"/>
        <v>1047.1600000000001</v>
      </c>
      <c r="I34" s="169">
        <f t="shared" si="8"/>
        <v>514155.56</v>
      </c>
      <c r="J34" s="144">
        <f t="shared" si="9"/>
        <v>0.26467767521360658</v>
      </c>
      <c r="K34" s="161">
        <f t="shared" si="10"/>
        <v>1047.1600000000001</v>
      </c>
      <c r="L34" s="161">
        <f t="shared" si="11"/>
        <v>514155.56</v>
      </c>
      <c r="M34" s="161"/>
      <c r="N34" s="161"/>
      <c r="O34" s="161"/>
      <c r="P34" s="161"/>
      <c r="Q34" s="162"/>
      <c r="R34" s="162"/>
      <c r="S34" s="162"/>
      <c r="T34" s="163"/>
    </row>
    <row r="35" spans="1:20" ht="58.5" x14ac:dyDescent="0.15">
      <c r="A35" s="170" t="s">
        <v>35</v>
      </c>
      <c r="B35" s="165"/>
      <c r="C35" s="165" t="s">
        <v>34</v>
      </c>
      <c r="D35" s="171" t="str">
        <f>'MAPA DE COTAÇÃO'!B9</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AZUL.</v>
      </c>
      <c r="E35" s="165" t="s">
        <v>25</v>
      </c>
      <c r="F35" s="167">
        <f>'MEMÓRIA DE CALCULO'!D32</f>
        <v>278</v>
      </c>
      <c r="G35" s="168">
        <f>'MAPA COTAÇÃO'!H9</f>
        <v>908.37</v>
      </c>
      <c r="H35" s="401">
        <f t="shared" si="7"/>
        <v>1047.1600000000001</v>
      </c>
      <c r="I35" s="169">
        <f t="shared" si="8"/>
        <v>291110.48</v>
      </c>
      <c r="J35" s="144">
        <f t="shared" si="9"/>
        <v>0.14985823566065709</v>
      </c>
      <c r="K35" s="161">
        <f t="shared" si="10"/>
        <v>1047.1600000000001</v>
      </c>
      <c r="L35" s="161">
        <f t="shared" si="11"/>
        <v>291110.48</v>
      </c>
      <c r="M35" s="161"/>
      <c r="N35" s="161"/>
      <c r="O35" s="161"/>
      <c r="P35" s="161"/>
      <c r="Q35" s="162"/>
      <c r="R35" s="162"/>
      <c r="S35" s="162"/>
      <c r="T35" s="163"/>
    </row>
    <row r="36" spans="1:20" ht="58.5" x14ac:dyDescent="0.15">
      <c r="A36" s="164" t="s">
        <v>33</v>
      </c>
      <c r="B36" s="165"/>
      <c r="C36" s="165" t="s">
        <v>32</v>
      </c>
      <c r="D36" s="171" t="str">
        <f>'MAPA DE COTAÇÃO'!B10</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VERDE.</v>
      </c>
      <c r="E36" s="165" t="s">
        <v>25</v>
      </c>
      <c r="F36" s="167">
        <f>'MEMÓRIA DE CALCULO'!D33</f>
        <v>45</v>
      </c>
      <c r="G36" s="168">
        <f>'MAPA COTAÇÃO'!H10</f>
        <v>908.37</v>
      </c>
      <c r="H36" s="401">
        <f t="shared" si="7"/>
        <v>1047.1600000000001</v>
      </c>
      <c r="I36" s="169">
        <f t="shared" si="8"/>
        <v>47122.2</v>
      </c>
      <c r="J36" s="144">
        <f t="shared" si="9"/>
        <v>2.4257628074566794E-2</v>
      </c>
      <c r="K36" s="161">
        <f t="shared" si="10"/>
        <v>1047.1600000000001</v>
      </c>
      <c r="L36" s="161">
        <f t="shared" si="11"/>
        <v>47122.2</v>
      </c>
      <c r="M36" s="161"/>
      <c r="N36" s="161"/>
      <c r="O36" s="161"/>
      <c r="P36" s="161"/>
      <c r="Q36" s="162"/>
      <c r="R36" s="162"/>
      <c r="S36" s="162"/>
      <c r="T36" s="163"/>
    </row>
    <row r="37" spans="1:20" ht="58.5" x14ac:dyDescent="0.15">
      <c r="A37" s="164" t="s">
        <v>31</v>
      </c>
      <c r="B37" s="165"/>
      <c r="C37" s="165" t="s">
        <v>30</v>
      </c>
      <c r="D37" s="171" t="str">
        <f>'MAPA DE COTAÇÃO'!B11</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VERMELHO.</v>
      </c>
      <c r="E37" s="165" t="s">
        <v>25</v>
      </c>
      <c r="F37" s="167">
        <f>'MEMÓRIA DE CALCULO'!D34</f>
        <v>21</v>
      </c>
      <c r="G37" s="168">
        <f>'MAPA COTAÇÃO'!H11</f>
        <v>908.37</v>
      </c>
      <c r="H37" s="401">
        <f t="shared" si="7"/>
        <v>1047.1600000000001</v>
      </c>
      <c r="I37" s="169">
        <f t="shared" si="8"/>
        <v>21990.36</v>
      </c>
      <c r="J37" s="144">
        <f t="shared" si="9"/>
        <v>1.1320226434797838E-2</v>
      </c>
      <c r="K37" s="161">
        <f t="shared" si="10"/>
        <v>1047.1600000000001</v>
      </c>
      <c r="L37" s="161">
        <f t="shared" si="11"/>
        <v>21990.36</v>
      </c>
      <c r="M37" s="161"/>
      <c r="N37" s="161"/>
      <c r="O37" s="161"/>
      <c r="P37" s="161"/>
      <c r="Q37" s="162"/>
      <c r="R37" s="162"/>
      <c r="S37" s="162"/>
      <c r="T37" s="163"/>
    </row>
    <row r="38" spans="1:20" ht="58.5" x14ac:dyDescent="0.15">
      <c r="A38" s="170" t="s">
        <v>29</v>
      </c>
      <c r="B38" s="165"/>
      <c r="C38" s="165" t="s">
        <v>28</v>
      </c>
      <c r="D38" s="171" t="str">
        <f>'MAPA DE COTAÇÃO'!B12</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AMARELO.</v>
      </c>
      <c r="E38" s="165" t="s">
        <v>25</v>
      </c>
      <c r="F38" s="167">
        <f>'MEMÓRIA DE CALCULO'!D35</f>
        <v>46</v>
      </c>
      <c r="G38" s="168">
        <f>'MAPA COTAÇÃO'!H12</f>
        <v>908.37</v>
      </c>
      <c r="H38" s="401">
        <f t="shared" si="7"/>
        <v>1047.1600000000001</v>
      </c>
      <c r="I38" s="169">
        <f t="shared" si="8"/>
        <v>48169.36</v>
      </c>
      <c r="J38" s="144">
        <f t="shared" si="9"/>
        <v>2.4796686476223836E-2</v>
      </c>
      <c r="K38" s="161">
        <f t="shared" si="10"/>
        <v>1047.1600000000001</v>
      </c>
      <c r="L38" s="161">
        <f t="shared" si="11"/>
        <v>48169.36</v>
      </c>
      <c r="M38" s="161"/>
      <c r="N38" s="161"/>
      <c r="O38" s="161"/>
      <c r="P38" s="161"/>
      <c r="Q38" s="162"/>
      <c r="R38" s="162"/>
      <c r="S38" s="162"/>
      <c r="T38" s="163"/>
    </row>
    <row r="39" spans="1:20" ht="58.5" x14ac:dyDescent="0.15">
      <c r="A39" s="164" t="s">
        <v>27</v>
      </c>
      <c r="B39" s="165"/>
      <c r="C39" s="165" t="s">
        <v>26</v>
      </c>
      <c r="D39" s="171" t="str">
        <f>'MAPA DE COTAÇÃO'!B13</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ROSA.</v>
      </c>
      <c r="E39" s="165" t="s">
        <v>25</v>
      </c>
      <c r="F39" s="167">
        <f>'MEMÓRIA DE CALCULO'!D36</f>
        <v>200</v>
      </c>
      <c r="G39" s="168">
        <f>'MAPA COTAÇÃO'!H13</f>
        <v>908.37</v>
      </c>
      <c r="H39" s="401">
        <f t="shared" si="7"/>
        <v>1047.1600000000001</v>
      </c>
      <c r="I39" s="169">
        <f t="shared" si="8"/>
        <v>209432</v>
      </c>
      <c r="J39" s="144">
        <f t="shared" si="9"/>
        <v>0.10781168033140798</v>
      </c>
      <c r="K39" s="161">
        <f t="shared" si="10"/>
        <v>1047.1600000000001</v>
      </c>
      <c r="L39" s="161">
        <f t="shared" si="11"/>
        <v>209432</v>
      </c>
      <c r="M39" s="161"/>
      <c r="N39" s="161"/>
      <c r="O39" s="161"/>
      <c r="P39" s="161"/>
      <c r="Q39" s="162"/>
      <c r="R39" s="162"/>
      <c r="S39" s="162"/>
      <c r="T39" s="163"/>
    </row>
    <row r="40" spans="1:20" ht="68.25" x14ac:dyDescent="0.15">
      <c r="A40" s="164" t="s">
        <v>24</v>
      </c>
      <c r="B40" s="165"/>
      <c r="C40" s="165" t="s">
        <v>23</v>
      </c>
      <c r="D40" s="171" t="str">
        <f>'MAPA DE COTAÇÃO'!B14</f>
        <v>CORDÃO 100 LEDS, SENDO 80 LEDS FIXO NA COR ROSA E 20 LEDS ESTROBO NA COR BRANCO FRIO, COM FIO VERDE, FIAÇÃO DE COBRE, DIÂMETRO DE 1,8MM, COMPRIMENTO DE 9,5M MAIS 0,50M DE TOMADA, DISTÂNCIA DE 10CM DE UM LED PARA OUTRO, LEDS DE 5CM, SISTEMA DE CONEXÃO COM TOMADA MACHO E FÊMEA PARA UNIÃO DE ATÉ 05 CONJUNTOS, USO EXTERNO, IP44, RESISTENTE A CHUVA, COM RESINA NA BASE DOS LEDS, TOTALMENTE À PROVA D’ÁGUA, 220V, POTÊNCIA 3,9W, COM FONTE RETIFICADORA IP65.</v>
      </c>
      <c r="E40" s="165" t="s">
        <v>20</v>
      </c>
      <c r="F40" s="167">
        <f>'MEMÓRIA DE CALCULO'!D37</f>
        <v>608</v>
      </c>
      <c r="G40" s="168">
        <f>'MAPA COTAÇÃO'!H14</f>
        <v>34.18</v>
      </c>
      <c r="H40" s="401">
        <f t="shared" si="7"/>
        <v>39.4</v>
      </c>
      <c r="I40" s="169">
        <f t="shared" si="8"/>
        <v>23955.200000000001</v>
      </c>
      <c r="J40" s="144">
        <f t="shared" si="9"/>
        <v>1.2331689353465299E-2</v>
      </c>
      <c r="K40" s="161">
        <f t="shared" si="10"/>
        <v>39.4</v>
      </c>
      <c r="L40" s="161">
        <f t="shared" si="11"/>
        <v>23955.200000000001</v>
      </c>
      <c r="M40" s="161"/>
      <c r="N40" s="161"/>
      <c r="O40" s="161"/>
      <c r="P40" s="161"/>
      <c r="Q40" s="162"/>
      <c r="R40" s="162"/>
      <c r="S40" s="162"/>
      <c r="T40" s="163"/>
    </row>
    <row r="41" spans="1:20" ht="68.25" x14ac:dyDescent="0.15">
      <c r="A41" s="170" t="s">
        <v>22</v>
      </c>
      <c r="B41" s="165"/>
      <c r="C41" s="165" t="s">
        <v>21</v>
      </c>
      <c r="D41" s="171" t="str">
        <f>'MAPA DE COTAÇÃO'!B15</f>
        <v>CORDÃO 120 LEDS SENDO 90 LEDS FIXOS E 30 LEDS ESTROBO, BRANCO FRIO COM FIO VERDE, FIAÇÃO DE COBRE, DIÂMETRO DE 1,8 MM, COMPRIMENTO DE 9,5M MAIS 0,50M DE TOMADA, DISTÂNCIA DE 8CM DE UM LED PARA OUTRO, LEDS DE 5CM, SISTEMA DE CONEXÃO COM TOMADA MACHO E FÊMEA PARA UNIÃO DE ATÉ 05 CONJUNTOS, USO EXTERNO, IP44, RESISTENTE A CHUVA, COM RESINA NA BASE DOS LEDS, TOTALMENTE À PROVA D’ÁGUA, 220V, POTÊNCIA 4,2W, COM FONTE RETIFICADORA IP65.</v>
      </c>
      <c r="E41" s="165" t="s">
        <v>20</v>
      </c>
      <c r="F41" s="167">
        <f>'MEMÓRIA DE CALCULO'!D38</f>
        <v>1296</v>
      </c>
      <c r="G41" s="168">
        <f>'MAPA COTAÇÃO'!H15</f>
        <v>35.340000000000003</v>
      </c>
      <c r="H41" s="401">
        <f t="shared" si="7"/>
        <v>40.729999999999997</v>
      </c>
      <c r="I41" s="169">
        <f t="shared" si="8"/>
        <v>52786.080000000002</v>
      </c>
      <c r="J41" s="144">
        <f t="shared" si="9"/>
        <v>2.7173287668112459E-2</v>
      </c>
      <c r="K41" s="161">
        <f t="shared" si="10"/>
        <v>40.729999999999997</v>
      </c>
      <c r="L41" s="161">
        <f t="shared" si="11"/>
        <v>52786.080000000002</v>
      </c>
      <c r="M41" s="161"/>
      <c r="N41" s="161"/>
      <c r="O41" s="161"/>
      <c r="P41" s="161"/>
      <c r="Q41" s="162"/>
      <c r="R41" s="162"/>
      <c r="S41" s="162"/>
      <c r="T41" s="163"/>
    </row>
    <row r="42" spans="1:20" ht="19.5" x14ac:dyDescent="0.15">
      <c r="A42" s="164" t="s">
        <v>19</v>
      </c>
      <c r="B42" s="165"/>
      <c r="C42" s="165" t="s">
        <v>18</v>
      </c>
      <c r="D42" s="171" t="str">
        <f>'MAPA DE COTAÇÃO'!B16</f>
        <v>PROJETOR/REFLETOR DE LED 300 WATTS, BIVOLT, GRAU DE PROTEÇÃO MÍNIMO IP 65. COR: VERDE</v>
      </c>
      <c r="E42" s="165" t="s">
        <v>13</v>
      </c>
      <c r="F42" s="167">
        <f>'MEMÓRIA DE CALCULO'!D39</f>
        <v>302</v>
      </c>
      <c r="G42" s="168">
        <f>'MAPA COTAÇÃO'!H16</f>
        <v>161.25</v>
      </c>
      <c r="H42" s="401">
        <f t="shared" si="7"/>
        <v>185.88</v>
      </c>
      <c r="I42" s="169">
        <f t="shared" si="8"/>
        <v>56135.76</v>
      </c>
      <c r="J42" s="144">
        <f t="shared" si="9"/>
        <v>2.8897640342835092E-2</v>
      </c>
      <c r="K42" s="161">
        <f t="shared" si="10"/>
        <v>185.88</v>
      </c>
      <c r="L42" s="161">
        <f t="shared" si="11"/>
        <v>56135.76</v>
      </c>
      <c r="M42" s="161"/>
      <c r="N42" s="161"/>
      <c r="O42" s="161"/>
      <c r="P42" s="161"/>
      <c r="Q42" s="162"/>
      <c r="R42" s="162"/>
      <c r="S42" s="162"/>
      <c r="T42" s="163"/>
    </row>
    <row r="43" spans="1:20" ht="19.5" x14ac:dyDescent="0.15">
      <c r="A43" s="164" t="s">
        <v>17</v>
      </c>
      <c r="B43" s="165"/>
      <c r="C43" s="165" t="s">
        <v>16</v>
      </c>
      <c r="D43" s="171" t="str">
        <f>'MAPA DE COTAÇÃO'!B17</f>
        <v>PROJETOR/REFLETOR DE LED 300 WATTS, BIVOLT, GRAU DE PROTEÇÃO MÍNIMO IP 65. COR: BRANCO FRIO</v>
      </c>
      <c r="E43" s="165" t="s">
        <v>13</v>
      </c>
      <c r="F43" s="167">
        <f>'MEMÓRIA DE CALCULO'!D40</f>
        <v>7</v>
      </c>
      <c r="G43" s="168">
        <f>'MAPA COTAÇÃO'!H17</f>
        <v>177.37</v>
      </c>
      <c r="H43" s="401">
        <f t="shared" si="7"/>
        <v>204.47</v>
      </c>
      <c r="I43" s="169">
        <f t="shared" si="8"/>
        <v>1431.29</v>
      </c>
      <c r="J43" s="144">
        <f t="shared" si="9"/>
        <v>7.3680134812989853E-4</v>
      </c>
      <c r="K43" s="161">
        <f t="shared" si="10"/>
        <v>204.47</v>
      </c>
      <c r="L43" s="161">
        <f t="shared" si="11"/>
        <v>1431.29</v>
      </c>
      <c r="M43" s="161"/>
      <c r="N43" s="161"/>
      <c r="O43" s="161"/>
      <c r="P43" s="161"/>
      <c r="Q43" s="162"/>
      <c r="R43" s="162"/>
      <c r="S43" s="162"/>
      <c r="T43" s="163"/>
    </row>
    <row r="44" spans="1:20" ht="29.25" x14ac:dyDescent="0.15">
      <c r="A44" s="164" t="s">
        <v>15</v>
      </c>
      <c r="B44" s="165"/>
      <c r="C44" s="165" t="s">
        <v>14</v>
      </c>
      <c r="D44" s="171" t="str">
        <f>'MAPA DE COTAÇÃO'!B18</f>
        <v>CORDÃO COM 24 STROBOS NA COR BRANCO FRIO, COM FIO TRANSPARENTE, DIÂMETRO DE 1,8MM, 220V, USO EXTERNO, IP44, COMPRIMENTO DE 12 METROS, POTÊNCIA 70W.</v>
      </c>
      <c r="E44" s="165" t="s">
        <v>140</v>
      </c>
      <c r="F44" s="167">
        <f>'MEMÓRIA DE CALCULO'!D41</f>
        <v>12</v>
      </c>
      <c r="G44" s="168">
        <f>'MAPA COTAÇÃO'!H18</f>
        <v>172</v>
      </c>
      <c r="H44" s="401">
        <f t="shared" si="7"/>
        <v>198.28</v>
      </c>
      <c r="I44" s="169">
        <f t="shared" si="8"/>
        <v>2379.36</v>
      </c>
      <c r="J44" s="144">
        <f t="shared" si="9"/>
        <v>1.2248500692985738E-3</v>
      </c>
      <c r="K44" s="161">
        <f t="shared" si="10"/>
        <v>198.28</v>
      </c>
      <c r="L44" s="161">
        <f t="shared" si="11"/>
        <v>2379.36</v>
      </c>
      <c r="M44" s="161"/>
      <c r="N44" s="161"/>
      <c r="O44" s="161"/>
      <c r="P44" s="161"/>
      <c r="Q44" s="162"/>
      <c r="R44" s="162"/>
      <c r="S44" s="162"/>
      <c r="T44" s="163"/>
    </row>
    <row r="45" spans="1:20" x14ac:dyDescent="0.15">
      <c r="A45" s="172"/>
      <c r="B45" s="378"/>
      <c r="C45" s="378"/>
      <c r="D45" s="173"/>
      <c r="E45" s="378"/>
      <c r="F45" s="378"/>
      <c r="G45" s="173" t="s">
        <v>12</v>
      </c>
      <c r="H45" s="173"/>
      <c r="I45" s="174">
        <f>TRUNC(SUM(I27:I44),2)</f>
        <v>1484213.46</v>
      </c>
      <c r="J45" s="144">
        <f t="shared" si="9"/>
        <v>0.76404535645504501</v>
      </c>
      <c r="K45" s="161" t="s">
        <v>95</v>
      </c>
      <c r="L45" s="344">
        <f>SUM(L27:L44)</f>
        <v>1484213.4600000004</v>
      </c>
      <c r="M45" s="161"/>
      <c r="N45" s="161"/>
      <c r="O45" s="161"/>
      <c r="P45" s="161"/>
      <c r="Q45" s="162"/>
      <c r="R45" s="162"/>
      <c r="S45" s="162"/>
      <c r="T45" s="163"/>
    </row>
    <row r="46" spans="1:20" x14ac:dyDescent="0.15">
      <c r="A46" s="175"/>
      <c r="B46" s="176"/>
      <c r="C46" s="176"/>
      <c r="D46" s="177"/>
      <c r="E46" s="176"/>
      <c r="F46" s="178"/>
      <c r="G46" s="176"/>
      <c r="H46" s="177"/>
      <c r="I46" s="179"/>
      <c r="J46" s="120"/>
      <c r="K46" s="161"/>
      <c r="L46" s="399">
        <f>SUM(L45+L25+L16)</f>
        <v>1965787.6500000004</v>
      </c>
      <c r="M46" s="161"/>
      <c r="N46" s="161"/>
      <c r="O46" s="161"/>
      <c r="P46" s="161"/>
      <c r="Q46" s="162"/>
      <c r="R46" s="162"/>
      <c r="S46" s="162"/>
      <c r="T46" s="163"/>
    </row>
    <row r="47" spans="1:20" x14ac:dyDescent="0.15">
      <c r="A47" s="431" t="s">
        <v>11</v>
      </c>
      <c r="B47" s="432"/>
      <c r="C47" s="432"/>
      <c r="D47" s="432"/>
      <c r="E47" s="432"/>
      <c r="F47" s="432"/>
      <c r="G47" s="432"/>
      <c r="H47" s="432"/>
      <c r="I47" s="433">
        <f>TRUNC((I16+I25+I45),2)</f>
        <v>1942572.45</v>
      </c>
      <c r="J47" s="434"/>
      <c r="K47" s="161"/>
      <c r="L47" s="161" t="b">
        <f>L46='QUADRO RESUMO'!C18</f>
        <v>1</v>
      </c>
      <c r="M47" s="161"/>
      <c r="N47" s="161"/>
      <c r="O47" s="161"/>
      <c r="P47" s="161"/>
      <c r="Q47" s="162"/>
      <c r="R47" s="162"/>
      <c r="S47" s="162"/>
      <c r="T47" s="163"/>
    </row>
    <row r="48" spans="1:20" x14ac:dyDescent="0.15">
      <c r="A48" s="438" t="s">
        <v>10</v>
      </c>
      <c r="B48" s="439"/>
      <c r="C48" s="439"/>
      <c r="D48" s="439"/>
      <c r="E48" s="439"/>
      <c r="F48" s="439"/>
      <c r="G48" s="439"/>
      <c r="H48" s="439"/>
      <c r="I48" s="439"/>
      <c r="J48" s="440"/>
      <c r="K48" s="161"/>
      <c r="L48" s="161"/>
      <c r="M48" s="161"/>
      <c r="N48" s="161"/>
      <c r="O48" s="161"/>
      <c r="P48" s="161"/>
      <c r="Q48" s="162"/>
      <c r="R48" s="162"/>
      <c r="S48" s="162"/>
      <c r="T48" s="163"/>
    </row>
    <row r="49" spans="1:20" x14ac:dyDescent="0.15">
      <c r="A49" s="441" t="s">
        <v>9</v>
      </c>
      <c r="B49" s="442"/>
      <c r="C49" s="442"/>
      <c r="D49" s="443" t="s">
        <v>8</v>
      </c>
      <c r="E49" s="443"/>
      <c r="F49" s="443"/>
      <c r="G49" s="443"/>
      <c r="H49" s="180">
        <f>J16</f>
        <v>1.2055426813038558E-2</v>
      </c>
      <c r="I49" s="444">
        <f>I16</f>
        <v>23418.54</v>
      </c>
      <c r="J49" s="445"/>
      <c r="K49" s="161"/>
      <c r="L49" s="161"/>
      <c r="M49" s="161"/>
      <c r="N49" s="161"/>
      <c r="O49" s="161"/>
      <c r="P49" s="161"/>
      <c r="Q49" s="162"/>
      <c r="R49" s="162"/>
      <c r="S49" s="162"/>
      <c r="T49" s="163"/>
    </row>
    <row r="50" spans="1:20" x14ac:dyDescent="0.15">
      <c r="A50" s="441" t="s">
        <v>7</v>
      </c>
      <c r="B50" s="442"/>
      <c r="C50" s="442"/>
      <c r="D50" s="443" t="s">
        <v>6</v>
      </c>
      <c r="E50" s="443"/>
      <c r="F50" s="443"/>
      <c r="G50" s="443"/>
      <c r="H50" s="180">
        <f>J25</f>
        <v>0.22389921673191648</v>
      </c>
      <c r="I50" s="444">
        <f>I25</f>
        <v>434940.45</v>
      </c>
      <c r="J50" s="445"/>
      <c r="K50" s="161"/>
      <c r="L50" s="161"/>
      <c r="M50" s="161"/>
      <c r="N50" s="161"/>
      <c r="O50" s="161"/>
      <c r="P50" s="161"/>
      <c r="Q50" s="162"/>
      <c r="R50" s="162"/>
      <c r="S50" s="162"/>
      <c r="T50" s="163"/>
    </row>
    <row r="51" spans="1:20" x14ac:dyDescent="0.15">
      <c r="A51" s="441" t="s">
        <v>5</v>
      </c>
      <c r="B51" s="442"/>
      <c r="C51" s="442"/>
      <c r="D51" s="443" t="s">
        <v>4</v>
      </c>
      <c r="E51" s="443"/>
      <c r="F51" s="443"/>
      <c r="G51" s="443"/>
      <c r="H51" s="180">
        <f>J45</f>
        <v>0.76404535645504501</v>
      </c>
      <c r="I51" s="444">
        <f>I45</f>
        <v>1484213.46</v>
      </c>
      <c r="J51" s="445"/>
      <c r="K51" s="161"/>
      <c r="L51" s="161"/>
      <c r="M51" s="161"/>
      <c r="N51" s="161"/>
      <c r="O51" s="161"/>
      <c r="P51" s="161"/>
      <c r="Q51" s="162"/>
      <c r="R51" s="162"/>
      <c r="S51" s="162"/>
      <c r="T51" s="163"/>
    </row>
    <row r="52" spans="1:20" x14ac:dyDescent="0.15">
      <c r="A52" s="172"/>
      <c r="B52" s="181"/>
      <c r="C52" s="181"/>
      <c r="D52" s="182" t="s">
        <v>3</v>
      </c>
      <c r="E52" s="183">
        <v>0.26540000000000002</v>
      </c>
      <c r="F52" s="184"/>
      <c r="G52" s="185"/>
      <c r="H52" s="180">
        <f>I52/I47</f>
        <v>0.23595464354495504</v>
      </c>
      <c r="I52" s="444">
        <f>I49+I50</f>
        <v>458358.99</v>
      </c>
      <c r="J52" s="445"/>
      <c r="K52" s="161"/>
      <c r="L52" s="161"/>
      <c r="M52" s="161"/>
      <c r="N52" s="161"/>
      <c r="O52" s="161"/>
      <c r="P52" s="161"/>
      <c r="Q52" s="162"/>
      <c r="R52" s="162"/>
      <c r="S52" s="162"/>
      <c r="T52" s="163"/>
    </row>
    <row r="53" spans="1:20" x14ac:dyDescent="0.15">
      <c r="A53" s="172"/>
      <c r="B53" s="181"/>
      <c r="C53" s="181"/>
      <c r="D53" s="182" t="s">
        <v>2</v>
      </c>
      <c r="E53" s="183">
        <v>0.15279999999999999</v>
      </c>
      <c r="F53" s="184"/>
      <c r="G53" s="185"/>
      <c r="H53" s="180">
        <f>I53/I47</f>
        <v>0.76404535645504501</v>
      </c>
      <c r="I53" s="444">
        <f>I51</f>
        <v>1484213.46</v>
      </c>
      <c r="J53" s="445"/>
      <c r="K53" s="161"/>
      <c r="L53" s="161"/>
      <c r="M53" s="161"/>
      <c r="N53" s="161"/>
      <c r="O53" s="161"/>
      <c r="P53" s="161"/>
      <c r="Q53" s="162"/>
      <c r="R53" s="162"/>
      <c r="S53" s="162"/>
      <c r="T53" s="163"/>
    </row>
    <row r="54" spans="1:20" x14ac:dyDescent="0.15">
      <c r="A54" s="172"/>
      <c r="B54" s="181"/>
      <c r="C54" s="181"/>
      <c r="D54" s="186" t="s">
        <v>1</v>
      </c>
      <c r="E54" s="187"/>
      <c r="F54" s="188"/>
      <c r="G54" s="189"/>
      <c r="H54" s="190">
        <v>1</v>
      </c>
      <c r="I54" s="449">
        <f>I52+I53</f>
        <v>1942572.45</v>
      </c>
      <c r="J54" s="450"/>
      <c r="K54" s="161"/>
      <c r="L54" s="161"/>
      <c r="M54" s="161"/>
      <c r="N54" s="161"/>
      <c r="O54" s="161"/>
      <c r="P54" s="161"/>
      <c r="Q54" s="162"/>
      <c r="R54" s="162"/>
      <c r="S54" s="162"/>
      <c r="T54" s="163"/>
    </row>
    <row r="55" spans="1:20" x14ac:dyDescent="0.15">
      <c r="A55" s="402" t="s">
        <v>0</v>
      </c>
      <c r="B55" s="403"/>
      <c r="C55" s="403"/>
      <c r="D55" s="403"/>
      <c r="E55" s="403"/>
      <c r="F55" s="403"/>
      <c r="G55" s="403"/>
      <c r="H55" s="403"/>
      <c r="I55" s="403"/>
      <c r="J55" s="404"/>
    </row>
    <row r="56" spans="1:20" x14ac:dyDescent="0.15">
      <c r="A56" s="446"/>
      <c r="B56" s="447"/>
      <c r="C56" s="447"/>
      <c r="D56" s="447"/>
      <c r="E56" s="447"/>
      <c r="F56" s="447"/>
      <c r="G56" s="447"/>
      <c r="H56" s="447"/>
      <c r="I56" s="447"/>
      <c r="J56" s="448"/>
    </row>
    <row r="57" spans="1:20" ht="10.5" thickBot="1" x14ac:dyDescent="0.2">
      <c r="A57" s="191"/>
      <c r="B57" s="192"/>
      <c r="C57" s="192"/>
      <c r="D57" s="193"/>
      <c r="E57" s="192"/>
      <c r="F57" s="194"/>
      <c r="G57" s="192"/>
      <c r="H57" s="193"/>
      <c r="I57" s="398"/>
      <c r="J57" s="195"/>
    </row>
  </sheetData>
  <mergeCells count="22">
    <mergeCell ref="A55:J55"/>
    <mergeCell ref="A56:J56"/>
    <mergeCell ref="I54:J54"/>
    <mergeCell ref="I53:J53"/>
    <mergeCell ref="A51:C51"/>
    <mergeCell ref="D51:G51"/>
    <mergeCell ref="I51:J51"/>
    <mergeCell ref="I52:J52"/>
    <mergeCell ref="A48:J48"/>
    <mergeCell ref="A49:C49"/>
    <mergeCell ref="D49:G49"/>
    <mergeCell ref="I49:J49"/>
    <mergeCell ref="A50:C50"/>
    <mergeCell ref="D50:G50"/>
    <mergeCell ref="I50:J50"/>
    <mergeCell ref="B1:J1"/>
    <mergeCell ref="B2:J2"/>
    <mergeCell ref="A47:H47"/>
    <mergeCell ref="I47:J47"/>
    <mergeCell ref="F6:G6"/>
    <mergeCell ref="I6:J6"/>
    <mergeCell ref="C4:I5"/>
  </mergeCells>
  <conditionalFormatting sqref="B52:B54 B26">
    <cfRule type="duplicateValues" dxfId="164" priority="3"/>
  </conditionalFormatting>
  <conditionalFormatting sqref="B29">
    <cfRule type="duplicateValues" dxfId="163" priority="1"/>
  </conditionalFormatting>
  <conditionalFormatting sqref="B27:B28 B30:B44">
    <cfRule type="duplicateValues" dxfId="162" priority="2"/>
  </conditionalFormatting>
  <pageMargins left="0.51181102362204722" right="0.51181102362204722" top="0.78740157480314965" bottom="0.78740157480314965" header="0.31496062992125984" footer="0.31496062992125984"/>
  <pageSetup paperSize="9" scale="94" fitToHeight="0" orientation="landscape" r:id="rId1"/>
  <headerFooter>
    <oddFooter>&amp;CR. Mte. Estanislau Panatier, 1199 - Jardim Monumento, Campo Grande - MS, CEP: 79063-000 – Fone (067) 3314-3600 - ramal 3640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view="pageBreakPreview" zoomScaleNormal="100" zoomScaleSheetLayoutView="100" workbookViewId="0">
      <selection activeCell="J42" sqref="J42"/>
    </sheetView>
  </sheetViews>
  <sheetFormatPr defaultColWidth="54.7109375" defaultRowHeight="9.75" x14ac:dyDescent="0.15"/>
  <cols>
    <col min="1" max="1" width="15" style="196" bestFit="1" customWidth="1"/>
    <col min="2" max="2" width="8.5703125" style="196" bestFit="1" customWidth="1"/>
    <col min="3" max="3" width="6.42578125" style="196" bestFit="1" customWidth="1"/>
    <col min="4" max="4" width="57.7109375" style="197" customWidth="1"/>
    <col min="5" max="5" width="9.5703125" style="197" bestFit="1" customWidth="1"/>
    <col min="6" max="6" width="6.7109375" style="197" bestFit="1" customWidth="1"/>
    <col min="7" max="7" width="11.7109375" style="196" bestFit="1" customWidth="1"/>
    <col min="8" max="8" width="14.5703125" style="196" bestFit="1" customWidth="1"/>
    <col min="9" max="16384" width="54.7109375" style="115"/>
  </cols>
  <sheetData>
    <row r="1" spans="1:8" x14ac:dyDescent="0.15">
      <c r="A1" s="114"/>
      <c r="B1" s="427" t="s">
        <v>112</v>
      </c>
      <c r="C1" s="427"/>
      <c r="D1" s="427"/>
      <c r="E1" s="427"/>
      <c r="F1" s="427"/>
      <c r="G1" s="427"/>
      <c r="H1" s="428"/>
    </row>
    <row r="2" spans="1:8" x14ac:dyDescent="0.15">
      <c r="A2" s="349"/>
      <c r="B2" s="429" t="s">
        <v>111</v>
      </c>
      <c r="C2" s="429"/>
      <c r="D2" s="429"/>
      <c r="E2" s="429"/>
      <c r="F2" s="429"/>
      <c r="G2" s="429"/>
      <c r="H2" s="430"/>
    </row>
    <row r="3" spans="1:8" x14ac:dyDescent="0.15">
      <c r="A3" s="349"/>
      <c r="B3" s="346"/>
      <c r="C3" s="346"/>
      <c r="D3" s="199"/>
      <c r="E3" s="346"/>
      <c r="F3" s="346"/>
      <c r="G3" s="346"/>
      <c r="H3" s="347"/>
    </row>
    <row r="4" spans="1:8" x14ac:dyDescent="0.15">
      <c r="A4" s="121"/>
      <c r="B4" s="437" t="s">
        <v>110</v>
      </c>
      <c r="C4" s="437"/>
      <c r="D4" s="437"/>
      <c r="E4" s="437"/>
      <c r="F4" s="437"/>
      <c r="G4" s="437"/>
      <c r="H4" s="389"/>
    </row>
    <row r="5" spans="1:8" x14ac:dyDescent="0.15">
      <c r="A5" s="121"/>
      <c r="B5" s="437"/>
      <c r="C5" s="437"/>
      <c r="D5" s="437"/>
      <c r="E5" s="437"/>
      <c r="F5" s="437"/>
      <c r="G5" s="437"/>
      <c r="H5" s="389"/>
    </row>
    <row r="6" spans="1:8" ht="19.5" x14ac:dyDescent="0.15">
      <c r="A6" s="124"/>
      <c r="B6" s="348"/>
      <c r="C6" s="348"/>
      <c r="D6" s="127" t="s">
        <v>109</v>
      </c>
      <c r="E6" s="435" t="str">
        <f>'PLANILHA ORÇAMENTÁRIA'!F6</f>
        <v>SINAPI - 07/2025 - MS</v>
      </c>
      <c r="F6" s="435"/>
      <c r="G6" s="352" t="s">
        <v>107</v>
      </c>
      <c r="H6" s="200" t="s">
        <v>106</v>
      </c>
    </row>
    <row r="7" spans="1:8" x14ac:dyDescent="0.15">
      <c r="A7" s="124"/>
      <c r="B7" s="348"/>
      <c r="C7" s="348"/>
      <c r="D7" s="128"/>
      <c r="E7" s="128"/>
      <c r="F7" s="201"/>
      <c r="G7" s="352" t="s">
        <v>105</v>
      </c>
      <c r="H7" s="202">
        <v>0.26540000000000002</v>
      </c>
    </row>
    <row r="8" spans="1:8" x14ac:dyDescent="0.15">
      <c r="A8" s="451" t="s">
        <v>138</v>
      </c>
      <c r="B8" s="452"/>
      <c r="C8" s="452"/>
      <c r="D8" s="452"/>
      <c r="E8" s="452"/>
      <c r="F8" s="452"/>
      <c r="G8" s="452"/>
      <c r="H8" s="453"/>
    </row>
    <row r="9" spans="1:8" ht="12" customHeight="1" x14ac:dyDescent="0.15">
      <c r="A9" s="380" t="s">
        <v>137</v>
      </c>
      <c r="B9" s="381" t="s">
        <v>102</v>
      </c>
      <c r="C9" s="381" t="s">
        <v>101</v>
      </c>
      <c r="D9" s="203" t="s">
        <v>100</v>
      </c>
      <c r="E9" s="381" t="s">
        <v>99</v>
      </c>
      <c r="F9" s="379" t="s">
        <v>98</v>
      </c>
      <c r="G9" s="381" t="s">
        <v>97</v>
      </c>
      <c r="H9" s="391" t="s">
        <v>95</v>
      </c>
    </row>
    <row r="10" spans="1:8" s="205" customFormat="1" ht="21" customHeight="1" x14ac:dyDescent="0.15">
      <c r="A10" s="141" t="s">
        <v>121</v>
      </c>
      <c r="B10" s="93" t="s">
        <v>136</v>
      </c>
      <c r="C10" s="93" t="s">
        <v>119</v>
      </c>
      <c r="D10" s="204" t="s">
        <v>283</v>
      </c>
      <c r="E10" s="93" t="s">
        <v>25</v>
      </c>
      <c r="F10" s="386">
        <v>1</v>
      </c>
      <c r="G10" s="94">
        <f>H10</f>
        <v>249.71</v>
      </c>
      <c r="H10" s="392">
        <f>TRUNC(SUM(H11:H15),2)</f>
        <v>249.71</v>
      </c>
    </row>
    <row r="11" spans="1:8" ht="42" customHeight="1" x14ac:dyDescent="0.15">
      <c r="A11" s="382" t="s">
        <v>114</v>
      </c>
      <c r="B11" s="383" t="s">
        <v>135</v>
      </c>
      <c r="C11" s="383" t="s">
        <v>40</v>
      </c>
      <c r="D11" s="206" t="s">
        <v>134</v>
      </c>
      <c r="E11" s="383" t="s">
        <v>83</v>
      </c>
      <c r="F11" s="387">
        <v>0.3</v>
      </c>
      <c r="G11" s="393">
        <v>212.25</v>
      </c>
      <c r="H11" s="394">
        <f>TRUNC(F11*G11,2)</f>
        <v>63.67</v>
      </c>
    </row>
    <row r="12" spans="1:8" ht="42" customHeight="1" x14ac:dyDescent="0.15">
      <c r="A12" s="382" t="s">
        <v>114</v>
      </c>
      <c r="B12" s="383">
        <v>5826</v>
      </c>
      <c r="C12" s="383" t="s">
        <v>40</v>
      </c>
      <c r="D12" s="206" t="s">
        <v>133</v>
      </c>
      <c r="E12" s="383" t="s">
        <v>80</v>
      </c>
      <c r="F12" s="387">
        <v>0.3</v>
      </c>
      <c r="G12" s="393">
        <v>58.59</v>
      </c>
      <c r="H12" s="394">
        <f>TRUNC(F12*G12,2)</f>
        <v>17.57</v>
      </c>
    </row>
    <row r="13" spans="1:8" ht="42" customHeight="1" x14ac:dyDescent="0.15">
      <c r="A13" s="382" t="s">
        <v>114</v>
      </c>
      <c r="B13" s="383">
        <v>91634</v>
      </c>
      <c r="C13" s="383" t="s">
        <v>40</v>
      </c>
      <c r="D13" s="206" t="s">
        <v>132</v>
      </c>
      <c r="E13" s="383" t="s">
        <v>83</v>
      </c>
      <c r="F13" s="387">
        <v>0.6</v>
      </c>
      <c r="G13" s="393">
        <v>229.36</v>
      </c>
      <c r="H13" s="394">
        <f>TRUNC(F13*G13,2)</f>
        <v>137.61000000000001</v>
      </c>
    </row>
    <row r="14" spans="1:8" ht="12" customHeight="1" x14ac:dyDescent="0.15">
      <c r="A14" s="382" t="s">
        <v>114</v>
      </c>
      <c r="B14" s="383" t="s">
        <v>125</v>
      </c>
      <c r="C14" s="383" t="s">
        <v>40</v>
      </c>
      <c r="D14" s="206" t="s">
        <v>124</v>
      </c>
      <c r="E14" s="383" t="s">
        <v>86</v>
      </c>
      <c r="F14" s="387">
        <v>0.6</v>
      </c>
      <c r="G14" s="393">
        <v>29.75</v>
      </c>
      <c r="H14" s="394">
        <f>TRUNC(F14*G14,2)</f>
        <v>17.850000000000001</v>
      </c>
    </row>
    <row r="15" spans="1:8" ht="12" customHeight="1" x14ac:dyDescent="0.15">
      <c r="A15" s="382" t="s">
        <v>114</v>
      </c>
      <c r="B15" s="383" t="s">
        <v>123</v>
      </c>
      <c r="C15" s="383" t="s">
        <v>40</v>
      </c>
      <c r="D15" s="206" t="s">
        <v>122</v>
      </c>
      <c r="E15" s="383" t="s">
        <v>86</v>
      </c>
      <c r="F15" s="387">
        <v>0.6</v>
      </c>
      <c r="G15" s="393">
        <v>21.69</v>
      </c>
      <c r="H15" s="394">
        <f>TRUNC(F15*G15,2)</f>
        <v>13.01</v>
      </c>
    </row>
    <row r="16" spans="1:8" x14ac:dyDescent="0.15">
      <c r="A16" s="207"/>
      <c r="B16" s="208"/>
      <c r="C16" s="208"/>
      <c r="D16" s="209"/>
      <c r="E16" s="209"/>
      <c r="F16" s="210"/>
      <c r="G16" s="208"/>
      <c r="H16" s="390"/>
    </row>
    <row r="17" spans="1:8" s="205" customFormat="1" ht="12" customHeight="1" x14ac:dyDescent="0.15">
      <c r="A17" s="380" t="s">
        <v>131</v>
      </c>
      <c r="B17" s="381" t="s">
        <v>102</v>
      </c>
      <c r="C17" s="381" t="s">
        <v>101</v>
      </c>
      <c r="D17" s="203" t="s">
        <v>100</v>
      </c>
      <c r="E17" s="381" t="s">
        <v>99</v>
      </c>
      <c r="F17" s="379" t="s">
        <v>98</v>
      </c>
      <c r="G17" s="381" t="s">
        <v>97</v>
      </c>
      <c r="H17" s="391" t="s">
        <v>95</v>
      </c>
    </row>
    <row r="18" spans="1:8" s="205" customFormat="1" ht="21" customHeight="1" x14ac:dyDescent="0.15">
      <c r="A18" s="141" t="s">
        <v>121</v>
      </c>
      <c r="B18" s="93" t="s">
        <v>130</v>
      </c>
      <c r="C18" s="93" t="s">
        <v>119</v>
      </c>
      <c r="D18" s="157" t="s">
        <v>72</v>
      </c>
      <c r="E18" s="93" t="s">
        <v>25</v>
      </c>
      <c r="F18" s="386">
        <v>1</v>
      </c>
      <c r="G18" s="94">
        <f>H18</f>
        <v>52.85</v>
      </c>
      <c r="H18" s="392">
        <f>TRUNC(SUM(H19:H22),2)</f>
        <v>52.85</v>
      </c>
    </row>
    <row r="19" spans="1:8" s="205" customFormat="1" ht="21" customHeight="1" x14ac:dyDescent="0.15">
      <c r="A19" s="382" t="s">
        <v>114</v>
      </c>
      <c r="B19" s="383">
        <v>92145</v>
      </c>
      <c r="C19" s="383" t="s">
        <v>40</v>
      </c>
      <c r="D19" s="206" t="s">
        <v>118</v>
      </c>
      <c r="E19" s="383" t="s">
        <v>83</v>
      </c>
      <c r="F19" s="387">
        <v>0.25</v>
      </c>
      <c r="G19" s="393">
        <v>77.19</v>
      </c>
      <c r="H19" s="394">
        <f>TRUNC(F19*G19,2)</f>
        <v>19.29</v>
      </c>
    </row>
    <row r="20" spans="1:8" ht="21" customHeight="1" x14ac:dyDescent="0.15">
      <c r="A20" s="382" t="s">
        <v>114</v>
      </c>
      <c r="B20" s="383">
        <v>92146</v>
      </c>
      <c r="C20" s="383" t="s">
        <v>40</v>
      </c>
      <c r="D20" s="206" t="s">
        <v>117</v>
      </c>
      <c r="E20" s="383" t="s">
        <v>80</v>
      </c>
      <c r="F20" s="387">
        <v>0.25</v>
      </c>
      <c r="G20" s="393">
        <v>31.43</v>
      </c>
      <c r="H20" s="394">
        <f>TRUNC(F20*G20,2)</f>
        <v>7.85</v>
      </c>
    </row>
    <row r="21" spans="1:8" ht="12" customHeight="1" x14ac:dyDescent="0.15">
      <c r="A21" s="382" t="s">
        <v>114</v>
      </c>
      <c r="B21" s="383" t="s">
        <v>125</v>
      </c>
      <c r="C21" s="383" t="s">
        <v>40</v>
      </c>
      <c r="D21" s="206" t="s">
        <v>124</v>
      </c>
      <c r="E21" s="383" t="s">
        <v>86</v>
      </c>
      <c r="F21" s="387">
        <v>0.5</v>
      </c>
      <c r="G21" s="393">
        <f>G14</f>
        <v>29.75</v>
      </c>
      <c r="H21" s="394">
        <f>TRUNC(F21*G21,2)</f>
        <v>14.87</v>
      </c>
    </row>
    <row r="22" spans="1:8" ht="12" customHeight="1" x14ac:dyDescent="0.15">
      <c r="A22" s="382" t="s">
        <v>114</v>
      </c>
      <c r="B22" s="383" t="s">
        <v>123</v>
      </c>
      <c r="C22" s="383" t="s">
        <v>40</v>
      </c>
      <c r="D22" s="206" t="s">
        <v>122</v>
      </c>
      <c r="E22" s="383" t="s">
        <v>86</v>
      </c>
      <c r="F22" s="387">
        <v>0.5</v>
      </c>
      <c r="G22" s="393">
        <f>G15</f>
        <v>21.69</v>
      </c>
      <c r="H22" s="394">
        <f>TRUNC(F22*G22,2)</f>
        <v>10.84</v>
      </c>
    </row>
    <row r="23" spans="1:8" x14ac:dyDescent="0.15">
      <c r="A23" s="349"/>
      <c r="B23" s="350"/>
      <c r="C23" s="350"/>
      <c r="D23" s="118"/>
      <c r="E23" s="118"/>
      <c r="F23" s="118"/>
      <c r="G23" s="350"/>
      <c r="H23" s="351"/>
    </row>
    <row r="24" spans="1:8" ht="12" customHeight="1" x14ac:dyDescent="0.15">
      <c r="A24" s="380" t="s">
        <v>71</v>
      </c>
      <c r="B24" s="381" t="s">
        <v>102</v>
      </c>
      <c r="C24" s="381" t="s">
        <v>101</v>
      </c>
      <c r="D24" s="203" t="s">
        <v>100</v>
      </c>
      <c r="E24" s="381" t="s">
        <v>99</v>
      </c>
      <c r="F24" s="379" t="s">
        <v>98</v>
      </c>
      <c r="G24" s="381" t="s">
        <v>97</v>
      </c>
      <c r="H24" s="391" t="s">
        <v>95</v>
      </c>
    </row>
    <row r="25" spans="1:8" ht="21" customHeight="1" x14ac:dyDescent="0.15">
      <c r="A25" s="141" t="s">
        <v>121</v>
      </c>
      <c r="B25" s="93" t="s">
        <v>129</v>
      </c>
      <c r="C25" s="93" t="s">
        <v>119</v>
      </c>
      <c r="D25" s="157" t="s">
        <v>69</v>
      </c>
      <c r="E25" s="93" t="s">
        <v>25</v>
      </c>
      <c r="F25" s="386">
        <v>1</v>
      </c>
      <c r="G25" s="94">
        <f>H25</f>
        <v>31.7</v>
      </c>
      <c r="H25" s="392">
        <f>TRUNC(SUM(H26:H29),2)</f>
        <v>31.7</v>
      </c>
    </row>
    <row r="26" spans="1:8" ht="21" customHeight="1" x14ac:dyDescent="0.15">
      <c r="A26" s="382" t="s">
        <v>114</v>
      </c>
      <c r="B26" s="383">
        <v>92145</v>
      </c>
      <c r="C26" s="383" t="s">
        <v>40</v>
      </c>
      <c r="D26" s="206" t="s">
        <v>118</v>
      </c>
      <c r="E26" s="383" t="s">
        <v>83</v>
      </c>
      <c r="F26" s="387">
        <v>0.15</v>
      </c>
      <c r="G26" s="393">
        <f>G19</f>
        <v>77.19</v>
      </c>
      <c r="H26" s="394">
        <f>TRUNC(F26*G26,2)</f>
        <v>11.57</v>
      </c>
    </row>
    <row r="27" spans="1:8" ht="21" customHeight="1" x14ac:dyDescent="0.15">
      <c r="A27" s="382" t="s">
        <v>114</v>
      </c>
      <c r="B27" s="383">
        <v>92146</v>
      </c>
      <c r="C27" s="383" t="s">
        <v>40</v>
      </c>
      <c r="D27" s="206" t="s">
        <v>117</v>
      </c>
      <c r="E27" s="383" t="s">
        <v>80</v>
      </c>
      <c r="F27" s="387">
        <v>0.15</v>
      </c>
      <c r="G27" s="393">
        <f>G20</f>
        <v>31.43</v>
      </c>
      <c r="H27" s="394">
        <f>TRUNC(F27*G27,2)</f>
        <v>4.71</v>
      </c>
    </row>
    <row r="28" spans="1:8" ht="12" customHeight="1" x14ac:dyDescent="0.15">
      <c r="A28" s="382" t="s">
        <v>114</v>
      </c>
      <c r="B28" s="383" t="s">
        <v>125</v>
      </c>
      <c r="C28" s="383" t="s">
        <v>40</v>
      </c>
      <c r="D28" s="206" t="s">
        <v>124</v>
      </c>
      <c r="E28" s="383" t="s">
        <v>86</v>
      </c>
      <c r="F28" s="387">
        <v>0.3</v>
      </c>
      <c r="G28" s="393">
        <f>G21</f>
        <v>29.75</v>
      </c>
      <c r="H28" s="394">
        <f>TRUNC(F28*G28,2)</f>
        <v>8.92</v>
      </c>
    </row>
    <row r="29" spans="1:8" ht="12" customHeight="1" x14ac:dyDescent="0.15">
      <c r="A29" s="382" t="s">
        <v>114</v>
      </c>
      <c r="B29" s="383" t="s">
        <v>123</v>
      </c>
      <c r="C29" s="383" t="s">
        <v>40</v>
      </c>
      <c r="D29" s="206" t="s">
        <v>122</v>
      </c>
      <c r="E29" s="383" t="s">
        <v>86</v>
      </c>
      <c r="F29" s="387">
        <v>0.3</v>
      </c>
      <c r="G29" s="393">
        <f>G22</f>
        <v>21.69</v>
      </c>
      <c r="H29" s="394">
        <f>TRUNC(F29*G29,2)</f>
        <v>6.5</v>
      </c>
    </row>
    <row r="30" spans="1:8" x14ac:dyDescent="0.15">
      <c r="A30" s="349"/>
      <c r="B30" s="350"/>
      <c r="C30" s="350"/>
      <c r="D30" s="118"/>
      <c r="E30" s="118"/>
      <c r="F30" s="118"/>
      <c r="G30" s="350"/>
      <c r="H30" s="351"/>
    </row>
    <row r="31" spans="1:8" ht="12" customHeight="1" x14ac:dyDescent="0.15">
      <c r="A31" s="380" t="s">
        <v>68</v>
      </c>
      <c r="B31" s="381" t="s">
        <v>102</v>
      </c>
      <c r="C31" s="381" t="s">
        <v>101</v>
      </c>
      <c r="D31" s="203" t="s">
        <v>100</v>
      </c>
      <c r="E31" s="381" t="s">
        <v>99</v>
      </c>
      <c r="F31" s="379" t="s">
        <v>98</v>
      </c>
      <c r="G31" s="381" t="s">
        <v>97</v>
      </c>
      <c r="H31" s="391" t="s">
        <v>95</v>
      </c>
    </row>
    <row r="32" spans="1:8" ht="21" customHeight="1" x14ac:dyDescent="0.15">
      <c r="A32" s="141" t="s">
        <v>121</v>
      </c>
      <c r="B32" s="93" t="s">
        <v>128</v>
      </c>
      <c r="C32" s="93" t="s">
        <v>119</v>
      </c>
      <c r="D32" s="157" t="s">
        <v>66</v>
      </c>
      <c r="E32" s="93" t="s">
        <v>20</v>
      </c>
      <c r="F32" s="386">
        <v>1</v>
      </c>
      <c r="G32" s="94">
        <f>H32</f>
        <v>42.28</v>
      </c>
      <c r="H32" s="392">
        <f>TRUNC(SUM(H33:H36),2)</f>
        <v>42.28</v>
      </c>
    </row>
    <row r="33" spans="1:8" ht="21" customHeight="1" x14ac:dyDescent="0.15">
      <c r="A33" s="382" t="s">
        <v>114</v>
      </c>
      <c r="B33" s="383">
        <v>92145</v>
      </c>
      <c r="C33" s="383" t="s">
        <v>40</v>
      </c>
      <c r="D33" s="206" t="s">
        <v>118</v>
      </c>
      <c r="E33" s="383" t="s">
        <v>83</v>
      </c>
      <c r="F33" s="387">
        <v>0.2</v>
      </c>
      <c r="G33" s="393">
        <f>G26</f>
        <v>77.19</v>
      </c>
      <c r="H33" s="394">
        <f>TRUNC(F33*G33,2)</f>
        <v>15.43</v>
      </c>
    </row>
    <row r="34" spans="1:8" ht="21" customHeight="1" x14ac:dyDescent="0.15">
      <c r="A34" s="382" t="s">
        <v>114</v>
      </c>
      <c r="B34" s="383">
        <v>92146</v>
      </c>
      <c r="C34" s="383" t="s">
        <v>40</v>
      </c>
      <c r="D34" s="206" t="s">
        <v>117</v>
      </c>
      <c r="E34" s="383" t="s">
        <v>80</v>
      </c>
      <c r="F34" s="387">
        <v>0.2</v>
      </c>
      <c r="G34" s="393">
        <f>G27</f>
        <v>31.43</v>
      </c>
      <c r="H34" s="394">
        <f>TRUNC(F34*G34,2)</f>
        <v>6.28</v>
      </c>
    </row>
    <row r="35" spans="1:8" ht="12" customHeight="1" x14ac:dyDescent="0.15">
      <c r="A35" s="382" t="s">
        <v>114</v>
      </c>
      <c r="B35" s="383" t="s">
        <v>125</v>
      </c>
      <c r="C35" s="383" t="s">
        <v>40</v>
      </c>
      <c r="D35" s="206" t="s">
        <v>124</v>
      </c>
      <c r="E35" s="383" t="s">
        <v>86</v>
      </c>
      <c r="F35" s="387">
        <v>0.4</v>
      </c>
      <c r="G35" s="393">
        <f>G28</f>
        <v>29.75</v>
      </c>
      <c r="H35" s="394">
        <f>TRUNC(F35*G35,2)</f>
        <v>11.9</v>
      </c>
    </row>
    <row r="36" spans="1:8" ht="12" customHeight="1" x14ac:dyDescent="0.15">
      <c r="A36" s="382" t="s">
        <v>114</v>
      </c>
      <c r="B36" s="383" t="s">
        <v>123</v>
      </c>
      <c r="C36" s="383" t="s">
        <v>40</v>
      </c>
      <c r="D36" s="206" t="s">
        <v>122</v>
      </c>
      <c r="E36" s="383" t="s">
        <v>86</v>
      </c>
      <c r="F36" s="387">
        <v>0.4</v>
      </c>
      <c r="G36" s="393">
        <f>G29</f>
        <v>21.69</v>
      </c>
      <c r="H36" s="394">
        <f>TRUNC(F36*G36,2)</f>
        <v>8.67</v>
      </c>
    </row>
    <row r="37" spans="1:8" x14ac:dyDescent="0.15">
      <c r="A37" s="349"/>
      <c r="B37" s="350"/>
      <c r="C37" s="350"/>
      <c r="D37" s="118"/>
      <c r="E37" s="118"/>
      <c r="F37" s="118"/>
      <c r="G37" s="350"/>
      <c r="H37" s="351"/>
    </row>
    <row r="38" spans="1:8" ht="12" customHeight="1" x14ac:dyDescent="0.15">
      <c r="A38" s="380" t="s">
        <v>65</v>
      </c>
      <c r="B38" s="381" t="s">
        <v>102</v>
      </c>
      <c r="C38" s="381" t="s">
        <v>101</v>
      </c>
      <c r="D38" s="203" t="s">
        <v>100</v>
      </c>
      <c r="E38" s="381" t="s">
        <v>99</v>
      </c>
      <c r="F38" s="379" t="s">
        <v>98</v>
      </c>
      <c r="G38" s="381" t="s">
        <v>97</v>
      </c>
      <c r="H38" s="391" t="s">
        <v>95</v>
      </c>
    </row>
    <row r="39" spans="1:8" ht="21" customHeight="1" x14ac:dyDescent="0.15">
      <c r="A39" s="141" t="s">
        <v>121</v>
      </c>
      <c r="B39" s="93" t="s">
        <v>127</v>
      </c>
      <c r="C39" s="93" t="s">
        <v>119</v>
      </c>
      <c r="D39" s="157" t="s">
        <v>63</v>
      </c>
      <c r="E39" s="93" t="s">
        <v>140</v>
      </c>
      <c r="F39" s="386">
        <v>1</v>
      </c>
      <c r="G39" s="94">
        <f>H39</f>
        <v>42.28</v>
      </c>
      <c r="H39" s="392">
        <f>TRUNC(SUM(H40:H43),2)</f>
        <v>42.28</v>
      </c>
    </row>
    <row r="40" spans="1:8" ht="21" customHeight="1" x14ac:dyDescent="0.15">
      <c r="A40" s="382" t="s">
        <v>114</v>
      </c>
      <c r="B40" s="383">
        <v>92145</v>
      </c>
      <c r="C40" s="383" t="s">
        <v>40</v>
      </c>
      <c r="D40" s="206" t="s">
        <v>118</v>
      </c>
      <c r="E40" s="383" t="s">
        <v>83</v>
      </c>
      <c r="F40" s="387">
        <v>0.2</v>
      </c>
      <c r="G40" s="393">
        <f>G33</f>
        <v>77.19</v>
      </c>
      <c r="H40" s="394">
        <f>TRUNC(F40*G40,2)</f>
        <v>15.43</v>
      </c>
    </row>
    <row r="41" spans="1:8" ht="21" customHeight="1" x14ac:dyDescent="0.15">
      <c r="A41" s="382" t="s">
        <v>114</v>
      </c>
      <c r="B41" s="383">
        <v>92146</v>
      </c>
      <c r="C41" s="383" t="s">
        <v>40</v>
      </c>
      <c r="D41" s="206" t="s">
        <v>117</v>
      </c>
      <c r="E41" s="383" t="s">
        <v>80</v>
      </c>
      <c r="F41" s="387">
        <v>0.2</v>
      </c>
      <c r="G41" s="393">
        <f>G34</f>
        <v>31.43</v>
      </c>
      <c r="H41" s="394">
        <f>TRUNC(F41*G41,2)</f>
        <v>6.28</v>
      </c>
    </row>
    <row r="42" spans="1:8" x14ac:dyDescent="0.15">
      <c r="A42" s="382" t="s">
        <v>114</v>
      </c>
      <c r="B42" s="383" t="s">
        <v>125</v>
      </c>
      <c r="C42" s="383" t="s">
        <v>40</v>
      </c>
      <c r="D42" s="206" t="s">
        <v>124</v>
      </c>
      <c r="E42" s="383" t="s">
        <v>86</v>
      </c>
      <c r="F42" s="387">
        <v>0.4</v>
      </c>
      <c r="G42" s="393">
        <f>G35</f>
        <v>29.75</v>
      </c>
      <c r="H42" s="394">
        <f>TRUNC(F42*G42,2)</f>
        <v>11.9</v>
      </c>
    </row>
    <row r="43" spans="1:8" ht="16.5" customHeight="1" x14ac:dyDescent="0.15">
      <c r="A43" s="382" t="s">
        <v>114</v>
      </c>
      <c r="B43" s="383" t="s">
        <v>123</v>
      </c>
      <c r="C43" s="383" t="s">
        <v>40</v>
      </c>
      <c r="D43" s="206" t="s">
        <v>122</v>
      </c>
      <c r="E43" s="383" t="s">
        <v>86</v>
      </c>
      <c r="F43" s="387">
        <v>0.4</v>
      </c>
      <c r="G43" s="393">
        <f>G36</f>
        <v>21.69</v>
      </c>
      <c r="H43" s="394">
        <f>TRUNC(F43*G43,2)</f>
        <v>8.67</v>
      </c>
    </row>
    <row r="44" spans="1:8" x14ac:dyDescent="0.15">
      <c r="A44" s="349"/>
      <c r="B44" s="350"/>
      <c r="C44" s="350"/>
      <c r="D44" s="118"/>
      <c r="E44" s="118"/>
      <c r="F44" s="118"/>
      <c r="G44" s="350"/>
      <c r="H44" s="351"/>
    </row>
    <row r="45" spans="1:8" ht="12" customHeight="1" x14ac:dyDescent="0.15">
      <c r="A45" s="380" t="s">
        <v>62</v>
      </c>
      <c r="B45" s="381" t="s">
        <v>102</v>
      </c>
      <c r="C45" s="381" t="s">
        <v>101</v>
      </c>
      <c r="D45" s="203" t="s">
        <v>100</v>
      </c>
      <c r="E45" s="381" t="s">
        <v>99</v>
      </c>
      <c r="F45" s="379" t="s">
        <v>98</v>
      </c>
      <c r="G45" s="381" t="s">
        <v>97</v>
      </c>
      <c r="H45" s="391" t="s">
        <v>95</v>
      </c>
    </row>
    <row r="46" spans="1:8" ht="21" customHeight="1" x14ac:dyDescent="0.15">
      <c r="A46" s="141" t="s">
        <v>121</v>
      </c>
      <c r="B46" s="93" t="s">
        <v>126</v>
      </c>
      <c r="C46" s="93" t="s">
        <v>119</v>
      </c>
      <c r="D46" s="157" t="s">
        <v>60</v>
      </c>
      <c r="E46" s="93" t="s">
        <v>13</v>
      </c>
      <c r="F46" s="386">
        <v>1</v>
      </c>
      <c r="G46" s="94">
        <f>H46</f>
        <v>31.7</v>
      </c>
      <c r="H46" s="392">
        <f>TRUNC(SUM(H47:H50),2)</f>
        <v>31.7</v>
      </c>
    </row>
    <row r="47" spans="1:8" ht="21" customHeight="1" x14ac:dyDescent="0.15">
      <c r="A47" s="382" t="s">
        <v>114</v>
      </c>
      <c r="B47" s="383">
        <v>92145</v>
      </c>
      <c r="C47" s="383" t="s">
        <v>40</v>
      </c>
      <c r="D47" s="206" t="s">
        <v>118</v>
      </c>
      <c r="E47" s="383" t="s">
        <v>83</v>
      </c>
      <c r="F47" s="387">
        <v>0.15</v>
      </c>
      <c r="G47" s="393">
        <f>G40</f>
        <v>77.19</v>
      </c>
      <c r="H47" s="394">
        <f>TRUNC(F47*G47,2)</f>
        <v>11.57</v>
      </c>
    </row>
    <row r="48" spans="1:8" ht="21" customHeight="1" x14ac:dyDescent="0.15">
      <c r="A48" s="382" t="s">
        <v>114</v>
      </c>
      <c r="B48" s="383">
        <v>92146</v>
      </c>
      <c r="C48" s="383" t="s">
        <v>40</v>
      </c>
      <c r="D48" s="206" t="s">
        <v>117</v>
      </c>
      <c r="E48" s="383" t="s">
        <v>80</v>
      </c>
      <c r="F48" s="387">
        <v>0.15</v>
      </c>
      <c r="G48" s="393">
        <f>G41</f>
        <v>31.43</v>
      </c>
      <c r="H48" s="394">
        <f>TRUNC(F48*G48,2)</f>
        <v>4.71</v>
      </c>
    </row>
    <row r="49" spans="1:8" ht="12" customHeight="1" x14ac:dyDescent="0.15">
      <c r="A49" s="382" t="s">
        <v>114</v>
      </c>
      <c r="B49" s="383" t="s">
        <v>125</v>
      </c>
      <c r="C49" s="383" t="s">
        <v>40</v>
      </c>
      <c r="D49" s="206" t="s">
        <v>124</v>
      </c>
      <c r="E49" s="383" t="s">
        <v>86</v>
      </c>
      <c r="F49" s="387">
        <v>0.3</v>
      </c>
      <c r="G49" s="393">
        <f>G42</f>
        <v>29.75</v>
      </c>
      <c r="H49" s="394">
        <f>TRUNC(F49*G49,2)</f>
        <v>8.92</v>
      </c>
    </row>
    <row r="50" spans="1:8" ht="12" customHeight="1" x14ac:dyDescent="0.15">
      <c r="A50" s="382" t="s">
        <v>114</v>
      </c>
      <c r="B50" s="383" t="s">
        <v>123</v>
      </c>
      <c r="C50" s="383" t="s">
        <v>40</v>
      </c>
      <c r="D50" s="206" t="s">
        <v>122</v>
      </c>
      <c r="E50" s="383" t="s">
        <v>86</v>
      </c>
      <c r="F50" s="387">
        <v>0.3</v>
      </c>
      <c r="G50" s="393">
        <f>G43</f>
        <v>21.69</v>
      </c>
      <c r="H50" s="394">
        <f>TRUNC(F50*G50,2)</f>
        <v>6.5</v>
      </c>
    </row>
    <row r="51" spans="1:8" x14ac:dyDescent="0.15">
      <c r="A51" s="349"/>
      <c r="B51" s="350"/>
      <c r="C51" s="350"/>
      <c r="D51" s="118"/>
      <c r="E51" s="118"/>
      <c r="F51" s="118"/>
      <c r="G51" s="350"/>
      <c r="H51" s="351"/>
    </row>
    <row r="52" spans="1:8" ht="12" customHeight="1" x14ac:dyDescent="0.15">
      <c r="A52" s="380" t="s">
        <v>59</v>
      </c>
      <c r="B52" s="381" t="s">
        <v>102</v>
      </c>
      <c r="C52" s="381" t="s">
        <v>101</v>
      </c>
      <c r="D52" s="203" t="s">
        <v>100</v>
      </c>
      <c r="E52" s="381" t="s">
        <v>99</v>
      </c>
      <c r="F52" s="379" t="s">
        <v>98</v>
      </c>
      <c r="G52" s="381" t="s">
        <v>97</v>
      </c>
      <c r="H52" s="391" t="s">
        <v>95</v>
      </c>
    </row>
    <row r="53" spans="1:8" ht="21" customHeight="1" x14ac:dyDescent="0.15">
      <c r="A53" s="141" t="s">
        <v>121</v>
      </c>
      <c r="B53" s="93" t="s">
        <v>120</v>
      </c>
      <c r="C53" s="93" t="s">
        <v>119</v>
      </c>
      <c r="D53" s="157" t="s">
        <v>56</v>
      </c>
      <c r="E53" s="93" t="s">
        <v>13</v>
      </c>
      <c r="F53" s="386">
        <v>1</v>
      </c>
      <c r="G53" s="94">
        <f>H53</f>
        <v>90.01</v>
      </c>
      <c r="H53" s="392">
        <f>TRUNC(SUM(H54:H59),2)</f>
        <v>90.01</v>
      </c>
    </row>
    <row r="54" spans="1:8" ht="21" customHeight="1" x14ac:dyDescent="0.15">
      <c r="A54" s="382" t="s">
        <v>114</v>
      </c>
      <c r="B54" s="383">
        <v>92145</v>
      </c>
      <c r="C54" s="383" t="s">
        <v>40</v>
      </c>
      <c r="D54" s="206" t="s">
        <v>118</v>
      </c>
      <c r="E54" s="383" t="s">
        <v>83</v>
      </c>
      <c r="F54" s="387">
        <v>0.3</v>
      </c>
      <c r="G54" s="393">
        <f>G47</f>
        <v>77.19</v>
      </c>
      <c r="H54" s="394">
        <f t="shared" ref="H54:H59" si="0">TRUNC(F54*G54,2)</f>
        <v>23.15</v>
      </c>
    </row>
    <row r="55" spans="1:8" ht="21" customHeight="1" x14ac:dyDescent="0.15">
      <c r="A55" s="382" t="s">
        <v>114</v>
      </c>
      <c r="B55" s="383">
        <v>92146</v>
      </c>
      <c r="C55" s="383" t="s">
        <v>40</v>
      </c>
      <c r="D55" s="206" t="s">
        <v>117</v>
      </c>
      <c r="E55" s="383" t="s">
        <v>80</v>
      </c>
      <c r="F55" s="387">
        <v>0.3</v>
      </c>
      <c r="G55" s="393">
        <f>G48</f>
        <v>31.43</v>
      </c>
      <c r="H55" s="394">
        <f t="shared" si="0"/>
        <v>9.42</v>
      </c>
    </row>
    <row r="56" spans="1:8" ht="12" customHeight="1" x14ac:dyDescent="0.15">
      <c r="A56" s="382" t="s">
        <v>114</v>
      </c>
      <c r="B56" s="383">
        <v>88278</v>
      </c>
      <c r="C56" s="383" t="s">
        <v>40</v>
      </c>
      <c r="D56" s="206" t="s">
        <v>298</v>
      </c>
      <c r="E56" s="383" t="s">
        <v>86</v>
      </c>
      <c r="F56" s="387">
        <v>0.6</v>
      </c>
      <c r="G56" s="393">
        <v>28.38</v>
      </c>
      <c r="H56" s="394">
        <f t="shared" si="0"/>
        <v>17.02</v>
      </c>
    </row>
    <row r="57" spans="1:8" ht="12" customHeight="1" x14ac:dyDescent="0.15">
      <c r="A57" s="382" t="s">
        <v>114</v>
      </c>
      <c r="B57" s="383">
        <v>88240</v>
      </c>
      <c r="C57" s="383" t="s">
        <v>40</v>
      </c>
      <c r="D57" s="206" t="s">
        <v>116</v>
      </c>
      <c r="E57" s="383" t="s">
        <v>86</v>
      </c>
      <c r="F57" s="387">
        <v>0.6</v>
      </c>
      <c r="G57" s="393">
        <v>20.09</v>
      </c>
      <c r="H57" s="394">
        <f t="shared" si="0"/>
        <v>12.05</v>
      </c>
    </row>
    <row r="58" spans="1:8" ht="12" customHeight="1" x14ac:dyDescent="0.15">
      <c r="A58" s="382" t="s">
        <v>114</v>
      </c>
      <c r="B58" s="383">
        <v>88315</v>
      </c>
      <c r="C58" s="383" t="s">
        <v>40</v>
      </c>
      <c r="D58" s="206" t="s">
        <v>115</v>
      </c>
      <c r="E58" s="383" t="s">
        <v>86</v>
      </c>
      <c r="F58" s="387">
        <v>0.6</v>
      </c>
      <c r="G58" s="393">
        <v>26.02</v>
      </c>
      <c r="H58" s="394">
        <f t="shared" si="0"/>
        <v>15.61</v>
      </c>
    </row>
    <row r="59" spans="1:8" ht="12" customHeight="1" thickBot="1" x14ac:dyDescent="0.2">
      <c r="A59" s="384" t="s">
        <v>114</v>
      </c>
      <c r="B59" s="385">
        <v>88251</v>
      </c>
      <c r="C59" s="385" t="s">
        <v>40</v>
      </c>
      <c r="D59" s="211" t="s">
        <v>113</v>
      </c>
      <c r="E59" s="385" t="s">
        <v>86</v>
      </c>
      <c r="F59" s="388">
        <v>0.6</v>
      </c>
      <c r="G59" s="395">
        <v>21.28</v>
      </c>
      <c r="H59" s="396">
        <f t="shared" si="0"/>
        <v>12.76</v>
      </c>
    </row>
  </sheetData>
  <mergeCells count="5">
    <mergeCell ref="A8:H8"/>
    <mergeCell ref="B1:H1"/>
    <mergeCell ref="B2:H2"/>
    <mergeCell ref="B4:G5"/>
    <mergeCell ref="E6:F6"/>
  </mergeCells>
  <pageMargins left="0.51181102362204722" right="0.51181102362204722" top="0.78740157480314965" bottom="0.78740157480314965" header="0.31496062992125984" footer="0.31496062992125984"/>
  <pageSetup paperSize="9" fitToHeight="0" orientation="landscape" r:id="rId1"/>
  <headerFooter>
    <oddFooter>&amp;CR. Mte. Estanislau Panatier, 1199 - Jardim Monumento, Campo Grande - MS, CEP: 79063-000 – Fone (067) 3314-3600 - ramal 3640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view="pageBreakPreview" zoomScale="115" zoomScaleNormal="130" zoomScaleSheetLayoutView="115" workbookViewId="0">
      <selection activeCell="L25" sqref="L25"/>
    </sheetView>
  </sheetViews>
  <sheetFormatPr defaultColWidth="54.7109375" defaultRowHeight="15" x14ac:dyDescent="0.25"/>
  <cols>
    <col min="1" max="1" width="4.5703125" style="363" bestFit="1" customWidth="1"/>
    <col min="2" max="2" width="60.5703125" style="1" bestFit="1" customWidth="1"/>
    <col min="3" max="3" width="11.42578125" style="50" customWidth="1"/>
    <col min="4" max="4" width="8.7109375" style="50" bestFit="1" customWidth="1"/>
    <col min="5" max="5" width="20" style="1" bestFit="1" customWidth="1"/>
    <col min="6" max="6" width="10.5703125" style="1" bestFit="1" customWidth="1"/>
    <col min="7" max="7" width="12.5703125" style="1" bestFit="1" customWidth="1"/>
    <col min="8" max="8" width="14.5703125" style="1" customWidth="1"/>
    <col min="9" max="9" width="11.140625" style="50" hidden="1" customWidth="1"/>
    <col min="10" max="10" width="9.42578125" style="50" hidden="1" customWidth="1"/>
    <col min="11" max="11" width="4.42578125" style="50" hidden="1" customWidth="1"/>
    <col min="12" max="16384" width="54.7109375" style="1"/>
  </cols>
  <sheetData>
    <row r="1" spans="1:11" s="9" customFormat="1" x14ac:dyDescent="0.25">
      <c r="A1" s="362"/>
      <c r="B1" s="466" t="s">
        <v>112</v>
      </c>
      <c r="C1" s="466"/>
      <c r="D1" s="466"/>
      <c r="E1" s="466"/>
      <c r="F1" s="466"/>
      <c r="G1" s="466"/>
      <c r="H1" s="51"/>
      <c r="I1" s="368"/>
      <c r="J1" s="368"/>
      <c r="K1" s="368"/>
    </row>
    <row r="2" spans="1:11" x14ac:dyDescent="0.25">
      <c r="B2" s="467" t="s">
        <v>111</v>
      </c>
      <c r="C2" s="467"/>
      <c r="D2" s="467"/>
      <c r="E2" s="467"/>
      <c r="F2" s="467"/>
      <c r="G2" s="467"/>
      <c r="H2" s="52"/>
    </row>
    <row r="3" spans="1:11" x14ac:dyDescent="0.25">
      <c r="B3" s="8"/>
      <c r="E3" s="8"/>
      <c r="F3" s="8"/>
      <c r="G3" s="8"/>
      <c r="H3" s="53"/>
    </row>
    <row r="4" spans="1:11" x14ac:dyDescent="0.25">
      <c r="B4" s="8"/>
      <c r="E4" s="8"/>
      <c r="F4" s="8"/>
      <c r="G4" s="8"/>
      <c r="H4" s="53"/>
    </row>
    <row r="5" spans="1:11" x14ac:dyDescent="0.25">
      <c r="A5" s="45"/>
      <c r="B5" s="468" t="s">
        <v>110</v>
      </c>
      <c r="C5" s="468"/>
      <c r="D5" s="468"/>
      <c r="E5" s="468"/>
      <c r="F5" s="468"/>
      <c r="G5" s="468"/>
      <c r="H5" s="54"/>
    </row>
    <row r="6" spans="1:11" ht="30" x14ac:dyDescent="0.25">
      <c r="A6" s="46"/>
      <c r="B6" s="6"/>
      <c r="C6" s="47"/>
      <c r="D6" s="7" t="s">
        <v>109</v>
      </c>
      <c r="E6" s="55" t="str">
        <f>'PLANILHA ORÇAMENTÁRIA'!F6</f>
        <v>SINAPI - 07/2025 - MS</v>
      </c>
      <c r="F6" s="4"/>
      <c r="G6" s="7" t="s">
        <v>107</v>
      </c>
      <c r="H6" s="56" t="s">
        <v>106</v>
      </c>
    </row>
    <row r="7" spans="1:11" x14ac:dyDescent="0.25">
      <c r="A7" s="46"/>
      <c r="B7" s="6"/>
      <c r="C7" s="47"/>
      <c r="D7" s="47"/>
      <c r="E7" s="5"/>
      <c r="F7" s="4"/>
      <c r="G7" s="3" t="s">
        <v>105</v>
      </c>
      <c r="H7" s="49">
        <v>0.26540000000000002</v>
      </c>
    </row>
    <row r="8" spans="1:11" ht="30.75" customHeight="1" thickBot="1" x14ac:dyDescent="0.3">
      <c r="A8" s="46"/>
      <c r="B8" s="6"/>
      <c r="C8" s="47"/>
      <c r="D8" s="47"/>
      <c r="E8" s="5"/>
      <c r="F8" s="4"/>
      <c r="G8" s="7" t="s">
        <v>104</v>
      </c>
      <c r="H8" s="49">
        <v>0.15279999999999999</v>
      </c>
    </row>
    <row r="9" spans="1:11" x14ac:dyDescent="0.25">
      <c r="A9" s="364" t="s">
        <v>103</v>
      </c>
      <c r="B9" s="353" t="s">
        <v>100</v>
      </c>
      <c r="C9" s="353" t="s">
        <v>99</v>
      </c>
      <c r="D9" s="353" t="s">
        <v>98</v>
      </c>
      <c r="E9" s="460" t="s">
        <v>162</v>
      </c>
      <c r="F9" s="461"/>
      <c r="G9" s="461"/>
      <c r="H9" s="462"/>
    </row>
    <row r="10" spans="1:11" x14ac:dyDescent="0.25">
      <c r="A10" s="365" t="s">
        <v>93</v>
      </c>
      <c r="B10" s="354" t="s">
        <v>8</v>
      </c>
      <c r="C10" s="355"/>
      <c r="D10" s="355"/>
      <c r="E10" s="463"/>
      <c r="F10" s="464"/>
      <c r="G10" s="464"/>
      <c r="H10" s="465"/>
    </row>
    <row r="11" spans="1:11" ht="35.1" customHeight="1" x14ac:dyDescent="0.25">
      <c r="A11" s="141" t="s">
        <v>161</v>
      </c>
      <c r="B11" s="356" t="str">
        <f>'PLANILHA ORÇAMENTÁRIA'!D12</f>
        <v>ENCARREGADO GERAL COM ENCARGOS COMPLEMENTARES</v>
      </c>
      <c r="C11" s="357" t="str">
        <f>'PLANILHA ORÇAMENTÁRIA'!E12</f>
        <v>H</v>
      </c>
      <c r="D11" s="358">
        <f>13.33*12.85</f>
        <v>171.29050000000001</v>
      </c>
      <c r="E11" s="469" t="s">
        <v>273</v>
      </c>
      <c r="F11" s="470"/>
      <c r="G11" s="470"/>
      <c r="H11" s="471"/>
    </row>
    <row r="12" spans="1:11" ht="35.1" customHeight="1" x14ac:dyDescent="0.25">
      <c r="A12" s="141" t="s">
        <v>160</v>
      </c>
      <c r="B12" s="356" t="str">
        <f>'PLANILHA ORÇAMENTÁRIA'!D13</f>
        <v>APONTADOR OU APROPRIADOR COM ENCARGOS COMPLEMENTARES</v>
      </c>
      <c r="C12" s="357" t="str">
        <f>'PLANILHA ORÇAMENTÁRIA'!E13</f>
        <v>H</v>
      </c>
      <c r="D12" s="358">
        <f>13.33*12.85</f>
        <v>171.29050000000001</v>
      </c>
      <c r="E12" s="469" t="s">
        <v>274</v>
      </c>
      <c r="F12" s="470"/>
      <c r="G12" s="470"/>
      <c r="H12" s="471"/>
    </row>
    <row r="13" spans="1:11" ht="51" customHeight="1" x14ac:dyDescent="0.25">
      <c r="A13" s="141" t="s">
        <v>159</v>
      </c>
      <c r="B13" s="356" t="str">
        <f>'PLANILHA ORÇAMENTÁRIA'!D14</f>
        <v>CAMINHONETE CABINE SIMPLES COM MOTOR 1.6 FLEX, CÂMBIO MANUAL, POTÊNCIA 101/104 CV, 2 PORTAS - CHP DIURNO. AF_11/2015</v>
      </c>
      <c r="C13" s="357" t="str">
        <f>'PLANILHA ORÇAMENTÁRIA'!E14</f>
        <v>CHP</v>
      </c>
      <c r="D13" s="358">
        <f>6.66*12.85</f>
        <v>85.581000000000003</v>
      </c>
      <c r="E13" s="469" t="s">
        <v>295</v>
      </c>
      <c r="F13" s="470"/>
      <c r="G13" s="470"/>
      <c r="H13" s="471"/>
    </row>
    <row r="14" spans="1:11" ht="51" customHeight="1" x14ac:dyDescent="0.25">
      <c r="A14" s="141" t="s">
        <v>82</v>
      </c>
      <c r="B14" s="356" t="str">
        <f>'PLANILHA ORÇAMENTÁRIA'!D15</f>
        <v>CAMINHONETE CABINE SIMPLES COM MOTOR 1.6 FLEX, CÂMBIO MANUAL, POTÊNCIA 101/104 CV, 2 PORTAS - CHI DIURNO. AF_11/2015</v>
      </c>
      <c r="C14" s="357" t="str">
        <f>'PLANILHA ORÇAMENTÁRIA'!E15</f>
        <v>CHI</v>
      </c>
      <c r="D14" s="358">
        <f>6.66*12.85</f>
        <v>85.581000000000003</v>
      </c>
      <c r="E14" s="469" t="s">
        <v>275</v>
      </c>
      <c r="F14" s="470"/>
      <c r="G14" s="470"/>
      <c r="H14" s="471"/>
    </row>
    <row r="15" spans="1:11" x14ac:dyDescent="0.25">
      <c r="A15" s="365" t="s">
        <v>78</v>
      </c>
      <c r="B15" s="354" t="s">
        <v>77</v>
      </c>
      <c r="C15" s="355"/>
      <c r="D15" s="355"/>
      <c r="E15" s="463"/>
      <c r="F15" s="464"/>
      <c r="G15" s="464"/>
      <c r="H15" s="465"/>
    </row>
    <row r="16" spans="1:11" ht="43.5" customHeight="1" x14ac:dyDescent="0.25">
      <c r="A16" s="141" t="s">
        <v>76</v>
      </c>
      <c r="B16" s="356" t="str">
        <f>'PLANILHA ORÇAMENTÁRIA'!D18</f>
        <v>INSTALAÇÃO E DESINSTALAÇÃO DE DESCIDA DE MANGUEIRA LUMINOSA LED 100 MTS ACIMA DE 12 A 22 M DE ALTURA - FORNECIMENTO E INSTALAÇÃO</v>
      </c>
      <c r="C16" s="357" t="str">
        <f>'PLANILHA ORÇAMENTÁRIA'!E18</f>
        <v>ROLO 100 M</v>
      </c>
      <c r="D16" s="359">
        <v>487</v>
      </c>
      <c r="E16" s="457" t="s">
        <v>158</v>
      </c>
      <c r="F16" s="458"/>
      <c r="G16" s="458"/>
      <c r="H16" s="459"/>
    </row>
    <row r="17" spans="1:11" s="2" customFormat="1" ht="43.5" customHeight="1" x14ac:dyDescent="0.25">
      <c r="A17" s="141" t="s">
        <v>157</v>
      </c>
      <c r="B17" s="356" t="str">
        <f>'PLANILHA ORÇAMENTÁRIA'!D19</f>
        <v>INSTALAÇÃO E DESINSTALAÇÃO DE DESCIDA DE MANGUEIRA LUMINOSA LED 100 MTS ACIMA DE 6 A 12 M DE ALTURA - FORNECIMENTO E INSTALAÇÃO</v>
      </c>
      <c r="C17" s="357" t="str">
        <f>'PLANILHA ORÇAMENTÁRIA'!E19</f>
        <v>ROLO 100 M</v>
      </c>
      <c r="D17" s="359">
        <v>436</v>
      </c>
      <c r="E17" s="457" t="s">
        <v>278</v>
      </c>
      <c r="F17" s="458"/>
      <c r="G17" s="458"/>
      <c r="H17" s="459"/>
      <c r="I17" s="50"/>
      <c r="J17" s="50"/>
      <c r="K17" s="50"/>
    </row>
    <row r="18" spans="1:11" ht="35.1" customHeight="1" x14ac:dyDescent="0.25">
      <c r="A18" s="141" t="s">
        <v>156</v>
      </c>
      <c r="B18" s="356" t="str">
        <f>'PLANILHA ORÇAMENTÁRIA'!D20</f>
        <v>INSTALAÇÃO E DESINSTALAÇÃO DE DESCIDA DE MANGUEIRA LUMINOSA LED 100 MTS ACIMA DE 0 A 6 M DE ALTURA - FORNECIMENTO E INSTALAÇÃO</v>
      </c>
      <c r="C18" s="357" t="str">
        <f>'PLANILHA ORÇAMENTÁRIA'!E20</f>
        <v>ROLO 100 M</v>
      </c>
      <c r="D18" s="359">
        <v>156</v>
      </c>
      <c r="E18" s="457" t="s">
        <v>276</v>
      </c>
      <c r="F18" s="458"/>
      <c r="G18" s="458"/>
      <c r="H18" s="459"/>
    </row>
    <row r="19" spans="1:11" ht="43.5" customHeight="1" x14ac:dyDescent="0.25">
      <c r="A19" s="141" t="s">
        <v>155</v>
      </c>
      <c r="B19" s="356" t="str">
        <f>'PLANILHA ORÇAMENTÁRIA'!D21</f>
        <v>INSTALAÇÃO E DESINSTALAÇÃO DE CORDÃO LUMINOSO LED 100 E 120 LEDS ACIMA DE 0 A 12 M DE ALTURA - FORNECIMENTO E INSTALAÇÃO</v>
      </c>
      <c r="C19" s="357" t="str">
        <f>'PLANILHA ORÇAMENTÁRIA'!E21</f>
        <v>CAIXA 10 M</v>
      </c>
      <c r="D19" s="359">
        <v>1904</v>
      </c>
      <c r="E19" s="457" t="s">
        <v>154</v>
      </c>
      <c r="F19" s="458"/>
      <c r="G19" s="458"/>
      <c r="H19" s="459"/>
      <c r="I19" s="50">
        <f>1296+608</f>
        <v>1904</v>
      </c>
    </row>
    <row r="20" spans="1:11" ht="35.1" customHeight="1" x14ac:dyDescent="0.25">
      <c r="A20" s="141" t="s">
        <v>153</v>
      </c>
      <c r="B20" s="356" t="str">
        <f>'PLANILHA ORÇAMENTÁRIA'!D22</f>
        <v>INSTALAÇÃO E DESINSTALAÇÃO DE CORDÃO LED STROBO EM ESTRUTURAS DE 0 ATÉ 6 M DE ALTURA</v>
      </c>
      <c r="C20" s="357" t="str">
        <f>'PLANILHA ORÇAMENTÁRIA'!E22</f>
        <v>CAIXA 12 M</v>
      </c>
      <c r="D20" s="359">
        <v>12</v>
      </c>
      <c r="E20" s="457" t="s">
        <v>152</v>
      </c>
      <c r="F20" s="458"/>
      <c r="G20" s="458"/>
      <c r="H20" s="459"/>
    </row>
    <row r="21" spans="1:11" ht="35.1" customHeight="1" x14ac:dyDescent="0.25">
      <c r="A21" s="141" t="s">
        <v>151</v>
      </c>
      <c r="B21" s="356" t="str">
        <f>'PLANILHA ORÇAMENTÁRIA'!D23</f>
        <v>INSTALAÇÃO E DESINSTALAÇÃO DE REFLETOR EM ESTRUTURAS DE 0 ATÉ 6 M DE ALTURA</v>
      </c>
      <c r="C21" s="357" t="str">
        <f>'PLANILHA ORÇAMENTÁRIA'!E23</f>
        <v>UN</v>
      </c>
      <c r="D21" s="359">
        <v>309</v>
      </c>
      <c r="E21" s="457" t="s">
        <v>277</v>
      </c>
      <c r="F21" s="458"/>
      <c r="G21" s="458"/>
      <c r="H21" s="459"/>
    </row>
    <row r="22" spans="1:11" ht="43.5" customHeight="1" x14ac:dyDescent="0.25">
      <c r="A22" s="141" t="s">
        <v>59</v>
      </c>
      <c r="B22" s="356" t="str">
        <f>'PLANILHA ORÇAMENTÁRIA'!D24</f>
        <v>INSTALAÇÃO E DESINSTALAÇÃO DE ESTRUTURAS METALICAS PARA DECORAÇÃO NATALINA</v>
      </c>
      <c r="C22" s="357" t="str">
        <f>'PLANILHA ORÇAMENTÁRIA'!E24</f>
        <v>UN</v>
      </c>
      <c r="D22" s="359">
        <v>1148</v>
      </c>
      <c r="E22" s="457" t="s">
        <v>299</v>
      </c>
      <c r="F22" s="458"/>
      <c r="G22" s="458"/>
      <c r="H22" s="459"/>
      <c r="I22" s="50">
        <f>321+827</f>
        <v>1148</v>
      </c>
    </row>
    <row r="23" spans="1:11" x14ac:dyDescent="0.25">
      <c r="A23" s="365">
        <v>3</v>
      </c>
      <c r="B23" s="354" t="s">
        <v>4</v>
      </c>
      <c r="C23" s="355"/>
      <c r="D23" s="355"/>
      <c r="E23" s="463"/>
      <c r="F23" s="464"/>
      <c r="G23" s="464"/>
      <c r="H23" s="465"/>
    </row>
    <row r="24" spans="1:11" ht="35.1" customHeight="1" x14ac:dyDescent="0.25">
      <c r="A24" s="141" t="s">
        <v>54</v>
      </c>
      <c r="B24" s="356" t="str">
        <f>'PLANILHA ORÇAMENTÁRIA'!D27</f>
        <v>CABO DE COBRE, FLEXIVEL, CLASSE 4 OU 5, ISOLACAO EM PVC/A, ANTICHAMA BWF-B, 1 CONDUTOR, 450/750 V, SECAO NOMINAL 1,5 MM2</v>
      </c>
      <c r="C24" s="357" t="str">
        <f>'PLANILHA ORÇAMENTÁRIA'!E27</f>
        <v>M</v>
      </c>
      <c r="D24" s="359">
        <v>17879.03</v>
      </c>
      <c r="E24" s="457" t="s">
        <v>279</v>
      </c>
      <c r="F24" s="458"/>
      <c r="G24" s="458"/>
      <c r="H24" s="459"/>
      <c r="I24" s="50">
        <f>1079*16.57</f>
        <v>17879.03</v>
      </c>
    </row>
    <row r="25" spans="1:11" ht="35.1" customHeight="1" x14ac:dyDescent="0.25">
      <c r="A25" s="141" t="s">
        <v>52</v>
      </c>
      <c r="B25" s="356" t="str">
        <f>'PLANILHA ORÇAMENTÁRIA'!D28</f>
        <v>CABO DE COBRE, FLEXIVEL, CLASSE 4 OU 5, ISOLACAO EM PVC/A, ANTICHAMA BWF-B, 1 CONDUTOR, 450/750 V, SECAO NOMINAL 2,5 MM2</v>
      </c>
      <c r="C25" s="357" t="str">
        <f>'PLANILHA ORÇAMENTÁRIA'!E28</f>
        <v>M</v>
      </c>
      <c r="D25" s="359">
        <f>309*11.25</f>
        <v>3476.25</v>
      </c>
      <c r="E25" s="457" t="s">
        <v>296</v>
      </c>
      <c r="F25" s="458"/>
      <c r="G25" s="458"/>
      <c r="H25" s="459"/>
      <c r="I25" s="50">
        <f>309*11.25</f>
        <v>3476.25</v>
      </c>
    </row>
    <row r="26" spans="1:11" ht="35.1" customHeight="1" x14ac:dyDescent="0.25">
      <c r="A26" s="366" t="s">
        <v>50</v>
      </c>
      <c r="B26" s="356" t="str">
        <f>'PLANILHA ORÇAMENTÁRIA'!D29</f>
        <v>CABO DE COBRE, FLEXIVEL, CLASSE 4 OU 5, ISOLACAO EM PVC/A, ANTICHAMA BWF-B, 1 CONDUTOR, 450/750 V, SECAO NOMINAL 4 MM2</v>
      </c>
      <c r="C26" s="357" t="str">
        <f>'PLANILHA ORÇAMENTÁRIA'!E29</f>
        <v>M</v>
      </c>
      <c r="D26" s="359">
        <f>1904*3.25</f>
        <v>6188</v>
      </c>
      <c r="E26" s="457" t="s">
        <v>297</v>
      </c>
      <c r="F26" s="458"/>
      <c r="G26" s="458"/>
      <c r="H26" s="459"/>
      <c r="I26" s="50">
        <f>1904*3.25</f>
        <v>6188</v>
      </c>
      <c r="J26" s="50">
        <f>J27/20</f>
        <v>333</v>
      </c>
    </row>
    <row r="27" spans="1:11" ht="65.099999999999994" customHeight="1" x14ac:dyDescent="0.25">
      <c r="A27" s="141" t="s">
        <v>47</v>
      </c>
      <c r="B27" s="356" t="str">
        <f>'PLANILHA ORÇAMENTÁRIA'!D30</f>
        <v>FITA ISOLANTE ADESIVA ANTICHAMA, USO ATE 750 V, EM ROLO DE 19 MM X 20 M</v>
      </c>
      <c r="C27" s="357" t="str">
        <f>'PLANILHA ORÇAMENTÁRIA'!E30</f>
        <v>UN</v>
      </c>
      <c r="D27" s="359">
        <v>333</v>
      </c>
      <c r="E27" s="457" t="s">
        <v>300</v>
      </c>
      <c r="F27" s="458"/>
      <c r="G27" s="458"/>
      <c r="H27" s="459"/>
      <c r="I27" s="50">
        <f>1079+309+1904+1148</f>
        <v>4440</v>
      </c>
      <c r="J27" s="50">
        <f>I27*1.5</f>
        <v>6660</v>
      </c>
      <c r="K27" s="50">
        <f>ROUNDUP(J27/20,0)</f>
        <v>333</v>
      </c>
    </row>
    <row r="28" spans="1:11" ht="43.5" customHeight="1" x14ac:dyDescent="0.25">
      <c r="A28" s="141" t="s">
        <v>45</v>
      </c>
      <c r="B28" s="356" t="str">
        <f>'PLANILHA ORÇAMENTÁRIA'!D31</f>
        <v>ABRACADEIRA DE NYLON PARA AMARRACAO DE CABOS, COMPRIMENTO DE 200 X *4,6* MM</v>
      </c>
      <c r="C28" s="357" t="str">
        <f>'PLANILHA ORÇAMENTÁRIA'!E31</f>
        <v>UN</v>
      </c>
      <c r="D28" s="359">
        <v>253702.39999999999</v>
      </c>
      <c r="E28" s="457" t="s">
        <v>281</v>
      </c>
      <c r="F28" s="458"/>
      <c r="G28" s="458"/>
      <c r="H28" s="459"/>
      <c r="I28" s="369">
        <v>126851.2</v>
      </c>
      <c r="J28" s="50">
        <f>I28*2</f>
        <v>253702.39999999999</v>
      </c>
    </row>
    <row r="29" spans="1:11" ht="51" customHeight="1" x14ac:dyDescent="0.25">
      <c r="A29" s="366" t="s">
        <v>43</v>
      </c>
      <c r="B29" s="356" t="str">
        <f>'PLANILHA ORÇAMENTÁRIA'!D32</f>
        <v>ARAME RECOZIDO 16 BWG, D = 1,65 MM (0,016 KG/M) OU 18 BWG, D = 1,25 MM (0,01 KG/M)</v>
      </c>
      <c r="C29" s="357" t="str">
        <f>'PLANILHA ORÇAMENTÁRIA'!E32</f>
        <v>KG</v>
      </c>
      <c r="D29" s="359">
        <f>J29</f>
        <v>2131.1999999999998</v>
      </c>
      <c r="E29" s="457" t="s">
        <v>302</v>
      </c>
      <c r="F29" s="458"/>
      <c r="G29" s="458"/>
      <c r="H29" s="459"/>
      <c r="I29" s="50">
        <f>1079+1904+309+1148</f>
        <v>4440</v>
      </c>
      <c r="J29" s="50">
        <f>30*0.016*4440</f>
        <v>2131.1999999999998</v>
      </c>
    </row>
    <row r="30" spans="1:11" ht="51" customHeight="1" x14ac:dyDescent="0.25">
      <c r="A30" s="141" t="s">
        <v>41</v>
      </c>
      <c r="B30" s="356" t="str">
        <f>'PLANILHA ORÇAMENTÁRIA'!D33</f>
        <v>ACO CA-25, 6,3 MM OU 8,0 MM, VERGALHAO</v>
      </c>
      <c r="C30" s="357" t="str">
        <f>'PLANILHA ORÇAMENTÁRIA'!E33</f>
        <v>KG</v>
      </c>
      <c r="D30" s="359">
        <f>I30</f>
        <v>1332</v>
      </c>
      <c r="E30" s="457" t="s">
        <v>301</v>
      </c>
      <c r="F30" s="458"/>
      <c r="G30" s="458"/>
      <c r="H30" s="459"/>
      <c r="I30" s="50">
        <f>0.3*4440</f>
        <v>1332</v>
      </c>
    </row>
    <row r="31" spans="1:11" ht="65.099999999999994" customHeight="1" x14ac:dyDescent="0.25">
      <c r="A31" s="141" t="s">
        <v>37</v>
      </c>
      <c r="B31" s="356" t="str">
        <f>'PLANILHA ORÇAMENTÁRIA'!D34</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BRANCO QUENTE.</v>
      </c>
      <c r="C31" s="357" t="str">
        <f>'PLANILHA ORÇAMENTÁRIA'!E34</f>
        <v>ROLO 100 M</v>
      </c>
      <c r="D31" s="359">
        <v>491</v>
      </c>
      <c r="E31" s="457" t="s">
        <v>149</v>
      </c>
      <c r="F31" s="458"/>
      <c r="G31" s="458"/>
      <c r="H31" s="459"/>
    </row>
    <row r="32" spans="1:11" ht="65.099999999999994" customHeight="1" x14ac:dyDescent="0.25">
      <c r="A32" s="366" t="s">
        <v>35</v>
      </c>
      <c r="B32" s="356" t="str">
        <f>'PLANILHA ORÇAMENTÁRIA'!D35</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AZUL.</v>
      </c>
      <c r="C32" s="357" t="str">
        <f>'PLANILHA ORÇAMENTÁRIA'!E35</f>
        <v>ROLO 100 M</v>
      </c>
      <c r="D32" s="359">
        <v>278</v>
      </c>
      <c r="E32" s="457" t="s">
        <v>148</v>
      </c>
      <c r="F32" s="458"/>
      <c r="G32" s="458"/>
      <c r="H32" s="459"/>
    </row>
    <row r="33" spans="1:9" ht="65.099999999999994" customHeight="1" x14ac:dyDescent="0.25">
      <c r="A33" s="141" t="s">
        <v>33</v>
      </c>
      <c r="B33" s="356" t="str">
        <f>'PLANILHA ORÇAMENTÁRIA'!D36</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VERDE.</v>
      </c>
      <c r="C33" s="357" t="str">
        <f>'PLANILHA ORÇAMENTÁRIA'!E36</f>
        <v>ROLO 100 M</v>
      </c>
      <c r="D33" s="359">
        <v>45</v>
      </c>
      <c r="E33" s="457" t="s">
        <v>147</v>
      </c>
      <c r="F33" s="458"/>
      <c r="G33" s="458"/>
      <c r="H33" s="459"/>
    </row>
    <row r="34" spans="1:9" ht="65.099999999999994" customHeight="1" x14ac:dyDescent="0.25">
      <c r="A34" s="141" t="s">
        <v>31</v>
      </c>
      <c r="B34" s="356" t="str">
        <f>'PLANILHA ORÇAMENTÁRIA'!D37</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VERMELHO.</v>
      </c>
      <c r="C34" s="357" t="str">
        <f>'PLANILHA ORÇAMENTÁRIA'!E37</f>
        <v>ROLO 100 M</v>
      </c>
      <c r="D34" s="359">
        <v>21</v>
      </c>
      <c r="E34" s="457" t="s">
        <v>146</v>
      </c>
      <c r="F34" s="458"/>
      <c r="G34" s="458"/>
      <c r="H34" s="459"/>
    </row>
    <row r="35" spans="1:9" ht="65.099999999999994" customHeight="1" x14ac:dyDescent="0.25">
      <c r="A35" s="366" t="s">
        <v>29</v>
      </c>
      <c r="B35" s="356" t="str">
        <f>'PLANILHA ORÇAMENTÁRIA'!D38</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AMARELO.</v>
      </c>
      <c r="C35" s="357" t="str">
        <f>'PLANILHA ORÇAMENTÁRIA'!E38</f>
        <v>ROLO 100 M</v>
      </c>
      <c r="D35" s="359">
        <v>46</v>
      </c>
      <c r="E35" s="457" t="s">
        <v>145</v>
      </c>
      <c r="F35" s="458"/>
      <c r="G35" s="458"/>
      <c r="H35" s="459"/>
    </row>
    <row r="36" spans="1:9" ht="65.099999999999994" customHeight="1" x14ac:dyDescent="0.25">
      <c r="A36" s="141" t="s">
        <v>27</v>
      </c>
      <c r="B36" s="356" t="str">
        <f>'PLANILHA ORÇAMENTÁRIA'!D39</f>
        <v>MANGUEIRA DE LED TRANSLÚCIDA, FIXA, COM 36 LEDS POR METRO, DIÂMETRO DE 13MM, LEDS DEITADOS PARA UMA VISÃO EM 360 GRAUS, CORTE A CADA UM METRO, ROLO DE 100 METROS, POTÊNCIA MÍNIMA DE 3W/MT. USO EXTERNO (IP65), MANGUEIRA DE 2 FIOS, TENSÃO 220V, CONTENDO 5 CABOS DE FORÇA, EMENDAS (CONECTORES DE INTERCONEXÃO) E CAPAS DE TERMINAÇÃO 13MM. NA COR ROSA.</v>
      </c>
      <c r="C36" s="357" t="str">
        <f>'PLANILHA ORÇAMENTÁRIA'!E39</f>
        <v>ROLO 100 M</v>
      </c>
      <c r="D36" s="359">
        <v>200</v>
      </c>
      <c r="E36" s="457" t="s">
        <v>144</v>
      </c>
      <c r="F36" s="458"/>
      <c r="G36" s="458"/>
      <c r="H36" s="459"/>
    </row>
    <row r="37" spans="1:9" ht="75" customHeight="1" x14ac:dyDescent="0.25">
      <c r="A37" s="141" t="s">
        <v>24</v>
      </c>
      <c r="B37" s="356" t="str">
        <f>'PLANILHA ORÇAMENTÁRIA'!D40</f>
        <v>CORDÃO 100 LEDS, SENDO 80 LEDS FIXO NA COR ROSA E 20 LEDS ESTROBO NA COR BRANCO FRIO, COM FIO VERDE, FIAÇÃO DE COBRE, DIÂMETRO DE 1,8MM, COMPRIMENTO DE 9,5M MAIS 0,50M DE TOMADA, DISTÂNCIA DE 10CM DE UM LED PARA OUTRO, LEDS DE 5CM, SISTEMA DE CONEXÃO COM TOMADA MACHO E FÊMEA PARA UNIÃO DE ATÉ 05 CONJUNTOS, USO EXTERNO, IP44, RESISTENTE A CHUVA, COM RESINA NA BASE DOS LEDS, TOTALMENTE À PROVA D’ÁGUA, 220V, POTÊNCIA 3,9W, COM FONTE RETIFICADORA IP65.</v>
      </c>
      <c r="C37" s="357" t="str">
        <f>'PLANILHA ORÇAMENTÁRIA'!E40</f>
        <v>CAIXA 10 M</v>
      </c>
      <c r="D37" s="359">
        <v>608</v>
      </c>
      <c r="E37" s="457" t="s">
        <v>143</v>
      </c>
      <c r="F37" s="458"/>
      <c r="G37" s="458"/>
      <c r="H37" s="459"/>
    </row>
    <row r="38" spans="1:9" ht="75" customHeight="1" x14ac:dyDescent="0.25">
      <c r="A38" s="366" t="s">
        <v>22</v>
      </c>
      <c r="B38" s="356" t="str">
        <f>'PLANILHA ORÇAMENTÁRIA'!D41</f>
        <v>CORDÃO 120 LEDS SENDO 90 LEDS FIXOS E 30 LEDS ESTROBO, BRANCO FRIO COM FIO VERDE, FIAÇÃO DE COBRE, DIÂMETRO DE 1,8 MM, COMPRIMENTO DE 9,5M MAIS 0,50M DE TOMADA, DISTÂNCIA DE 8CM DE UM LED PARA OUTRO, LEDS DE 5CM, SISTEMA DE CONEXÃO COM TOMADA MACHO E FÊMEA PARA UNIÃO DE ATÉ 05 CONJUNTOS, USO EXTERNO, IP44, RESISTENTE A CHUVA, COM RESINA NA BASE DOS LEDS, TOTALMENTE À PROVA D’ÁGUA, 220V, POTÊNCIA 4,2W, COM FONTE RETIFICADORA IP65.</v>
      </c>
      <c r="C38" s="357" t="str">
        <f>'PLANILHA ORÇAMENTÁRIA'!E41</f>
        <v>CAIXA 10 M</v>
      </c>
      <c r="D38" s="359">
        <v>1296</v>
      </c>
      <c r="E38" s="457" t="s">
        <v>280</v>
      </c>
      <c r="F38" s="458"/>
      <c r="G38" s="458"/>
      <c r="H38" s="459"/>
      <c r="I38" s="50">
        <f>12960/10</f>
        <v>1296</v>
      </c>
    </row>
    <row r="39" spans="1:9" ht="23.1" customHeight="1" x14ac:dyDescent="0.25">
      <c r="A39" s="141" t="s">
        <v>19</v>
      </c>
      <c r="B39" s="356" t="str">
        <f>'PLANILHA ORÇAMENTÁRIA'!D42</f>
        <v>PROJETOR/REFLETOR DE LED 300 WATTS, BIVOLT, GRAU DE PROTEÇÃO MÍNIMO IP 65. COR: VERDE</v>
      </c>
      <c r="C39" s="357" t="str">
        <f>'PLANILHA ORÇAMENTÁRIA'!E42</f>
        <v>UN</v>
      </c>
      <c r="D39" s="359">
        <v>302</v>
      </c>
      <c r="E39" s="457" t="s">
        <v>142</v>
      </c>
      <c r="F39" s="458"/>
      <c r="G39" s="458"/>
      <c r="H39" s="459"/>
    </row>
    <row r="40" spans="1:9" ht="23.1" customHeight="1" x14ac:dyDescent="0.25">
      <c r="A40" s="141" t="s">
        <v>17</v>
      </c>
      <c r="B40" s="356" t="str">
        <f>'PLANILHA ORÇAMENTÁRIA'!D43</f>
        <v>PROJETOR/REFLETOR DE LED 300 WATTS, BIVOLT, GRAU DE PROTEÇÃO MÍNIMO IP 65. COR: BRANCO FRIO</v>
      </c>
      <c r="C40" s="357" t="str">
        <f>'PLANILHA ORÇAMENTÁRIA'!E43</f>
        <v>UN</v>
      </c>
      <c r="D40" s="359">
        <v>7</v>
      </c>
      <c r="E40" s="457" t="s">
        <v>141</v>
      </c>
      <c r="F40" s="458"/>
      <c r="G40" s="458"/>
      <c r="H40" s="459"/>
    </row>
    <row r="41" spans="1:9" ht="35.1" customHeight="1" thickBot="1" x14ac:dyDescent="0.3">
      <c r="A41" s="367" t="s">
        <v>15</v>
      </c>
      <c r="B41" s="360" t="str">
        <f>'PLANILHA ORÇAMENTÁRIA'!D44</f>
        <v>CORDÃO COM 24 STROBOS NA COR BRANCO FRIO, COM FIO TRANSPARENTE, DIÂMETRO DE 1,8MM, 220V, USO EXTERNO, IP44, COMPRIMENTO DE 12 METROS, POTÊNCIA 70W.</v>
      </c>
      <c r="C41" s="361" t="str">
        <f>'PLANILHA ORÇAMENTÁRIA'!E44</f>
        <v>CAIXA 12 M</v>
      </c>
      <c r="D41" s="95">
        <v>12</v>
      </c>
      <c r="E41" s="454" t="s">
        <v>139</v>
      </c>
      <c r="F41" s="455"/>
      <c r="G41" s="455"/>
      <c r="H41" s="456"/>
    </row>
  </sheetData>
  <mergeCells count="36">
    <mergeCell ref="E25:H25"/>
    <mergeCell ref="E26:H26"/>
    <mergeCell ref="E27:H27"/>
    <mergeCell ref="E28:H28"/>
    <mergeCell ref="E29:H29"/>
    <mergeCell ref="E35:H35"/>
    <mergeCell ref="E30:H30"/>
    <mergeCell ref="E31:H31"/>
    <mergeCell ref="E32:H32"/>
    <mergeCell ref="E33:H33"/>
    <mergeCell ref="E34:H34"/>
    <mergeCell ref="B1:G1"/>
    <mergeCell ref="B2:G2"/>
    <mergeCell ref="B5:G5"/>
    <mergeCell ref="E11:H11"/>
    <mergeCell ref="E17:H17"/>
    <mergeCell ref="E12:H12"/>
    <mergeCell ref="E13:H13"/>
    <mergeCell ref="E14:H14"/>
    <mergeCell ref="E16:H16"/>
    <mergeCell ref="E24:H24"/>
    <mergeCell ref="E9:H9"/>
    <mergeCell ref="E10:H10"/>
    <mergeCell ref="E21:H21"/>
    <mergeCell ref="E18:H18"/>
    <mergeCell ref="E19:H19"/>
    <mergeCell ref="E20:H20"/>
    <mergeCell ref="E15:H15"/>
    <mergeCell ref="E23:H23"/>
    <mergeCell ref="E22:H22"/>
    <mergeCell ref="E41:H41"/>
    <mergeCell ref="E36:H36"/>
    <mergeCell ref="E37:H37"/>
    <mergeCell ref="E38:H38"/>
    <mergeCell ref="E39:H39"/>
    <mergeCell ref="E40:H40"/>
  </mergeCells>
  <pageMargins left="0.51181102362204722" right="0.51181102362204722" top="0.78740157480314965" bottom="0.78740157480314965" header="0.31496062992125984" footer="0.31496062992125984"/>
  <pageSetup paperSize="9" scale="65" fitToHeight="0" orientation="portrait" r:id="rId1"/>
  <headerFooter>
    <oddFooter>&amp;CR. Mte. Estanislau Panatier, 1199 - Jardim Monumento, Campo Grande - MS, CEP: 79063-000 – Fone (067) 3314-3600 - ramal 3640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opLeftCell="A7" zoomScaleNormal="100" zoomScaleSheetLayoutView="85" workbookViewId="0">
      <selection activeCell="F9" sqref="F9"/>
    </sheetView>
  </sheetViews>
  <sheetFormatPr defaultColWidth="9.140625" defaultRowHeight="15" x14ac:dyDescent="0.25"/>
  <cols>
    <col min="1" max="1" width="12.140625" style="11" bestFit="1" customWidth="1"/>
    <col min="2" max="2" width="70.5703125" style="10" bestFit="1" customWidth="1"/>
    <col min="3" max="3" width="11.42578125" style="10" bestFit="1" customWidth="1"/>
    <col min="4" max="4" width="7.140625" bestFit="1" customWidth="1"/>
    <col min="5" max="5" width="13.85546875" bestFit="1" customWidth="1"/>
    <col min="6" max="6" width="15" customWidth="1"/>
    <col min="7" max="7" width="13.85546875" bestFit="1" customWidth="1"/>
    <col min="8" max="8" width="15.85546875" bestFit="1" customWidth="1"/>
    <col min="9" max="9" width="13.42578125" bestFit="1" customWidth="1"/>
  </cols>
  <sheetData>
    <row r="1" spans="1:9" x14ac:dyDescent="0.25">
      <c r="A1" s="57"/>
      <c r="B1" s="472" t="s">
        <v>112</v>
      </c>
      <c r="C1" s="472"/>
      <c r="D1" s="472"/>
      <c r="E1" s="472"/>
      <c r="F1" s="472"/>
      <c r="G1" s="472"/>
      <c r="H1" s="472"/>
      <c r="I1" s="58"/>
    </row>
    <row r="2" spans="1:9" x14ac:dyDescent="0.25">
      <c r="A2" s="59"/>
      <c r="B2" s="473" t="s">
        <v>111</v>
      </c>
      <c r="C2" s="473"/>
      <c r="D2" s="473"/>
      <c r="E2" s="473"/>
      <c r="F2" s="473"/>
      <c r="G2" s="473"/>
      <c r="H2" s="473"/>
      <c r="I2" s="60"/>
    </row>
    <row r="3" spans="1:9" ht="30" x14ac:dyDescent="0.25">
      <c r="A3" s="45"/>
      <c r="B3" s="468" t="s">
        <v>110</v>
      </c>
      <c r="C3" s="468"/>
      <c r="D3" s="468"/>
      <c r="E3" s="468"/>
      <c r="F3" s="7" t="s">
        <v>109</v>
      </c>
      <c r="G3" s="55" t="str">
        <f>'PLANILHA ORÇAMENTÁRIA'!F6</f>
        <v>SINAPI - 07/2025 - MS</v>
      </c>
      <c r="H3" s="3" t="s">
        <v>107</v>
      </c>
      <c r="I3" s="56" t="s">
        <v>106</v>
      </c>
    </row>
    <row r="4" spans="1:9" x14ac:dyDescent="0.25">
      <c r="A4" s="46"/>
      <c r="B4" s="468"/>
      <c r="C4" s="468"/>
      <c r="D4" s="468"/>
      <c r="E4" s="468"/>
      <c r="F4" s="6"/>
      <c r="G4" s="5"/>
      <c r="H4" s="3" t="s">
        <v>105</v>
      </c>
      <c r="I4" s="49">
        <v>0.26540000000000002</v>
      </c>
    </row>
    <row r="5" spans="1:9" x14ac:dyDescent="0.25">
      <c r="A5" s="46"/>
      <c r="B5" s="47"/>
      <c r="C5" s="47"/>
      <c r="D5" s="61"/>
      <c r="E5" s="61"/>
      <c r="F5" s="6"/>
      <c r="G5" s="5"/>
      <c r="H5" s="3" t="s">
        <v>104</v>
      </c>
      <c r="I5" s="49">
        <v>0.15279999999999999</v>
      </c>
    </row>
    <row r="6" spans="1:9" ht="15.75" x14ac:dyDescent="0.25">
      <c r="A6" s="474" t="s">
        <v>181</v>
      </c>
      <c r="B6" s="475"/>
      <c r="C6" s="475"/>
      <c r="D6" s="475"/>
      <c r="E6" s="475"/>
      <c r="F6" s="475"/>
      <c r="G6" s="475"/>
      <c r="H6" s="475"/>
      <c r="I6" s="476"/>
    </row>
    <row r="7" spans="1:9" ht="63.75" x14ac:dyDescent="0.25">
      <c r="A7" s="62" t="s">
        <v>180</v>
      </c>
      <c r="B7" s="18" t="s">
        <v>179</v>
      </c>
      <c r="C7" s="18" t="s">
        <v>13</v>
      </c>
      <c r="D7" s="18" t="s">
        <v>178</v>
      </c>
      <c r="E7" s="18" t="s">
        <v>177</v>
      </c>
      <c r="F7" s="18" t="s">
        <v>176</v>
      </c>
      <c r="G7" s="18" t="s">
        <v>175</v>
      </c>
      <c r="H7" s="18" t="s">
        <v>174</v>
      </c>
      <c r="I7" s="63" t="s">
        <v>173</v>
      </c>
    </row>
    <row r="8" spans="1:9" ht="94.5" customHeight="1" x14ac:dyDescent="0.25">
      <c r="A8" s="64" t="s">
        <v>36</v>
      </c>
      <c r="B8" s="17" t="s">
        <v>172</v>
      </c>
      <c r="C8" s="16" t="s">
        <v>25</v>
      </c>
      <c r="D8" s="15">
        <v>1</v>
      </c>
      <c r="E8" s="14">
        <v>845</v>
      </c>
      <c r="F8" s="14">
        <v>929.5</v>
      </c>
      <c r="G8" s="14">
        <v>950.63</v>
      </c>
      <c r="H8" s="13">
        <f t="shared" ref="H8:H18" si="0">TRUNC(AVERAGE(E8:G8),2)</f>
        <v>908.37</v>
      </c>
      <c r="I8" s="65">
        <f t="shared" ref="I8:I18" si="1">TRUNC(MEDIAN(E8:G8),2)</f>
        <v>929.5</v>
      </c>
    </row>
    <row r="9" spans="1:9" ht="90" x14ac:dyDescent="0.25">
      <c r="A9" s="64" t="s">
        <v>34</v>
      </c>
      <c r="B9" s="17" t="s">
        <v>171</v>
      </c>
      <c r="C9" s="16" t="s">
        <v>25</v>
      </c>
      <c r="D9" s="15">
        <v>1</v>
      </c>
      <c r="E9" s="14">
        <v>845</v>
      </c>
      <c r="F9" s="14">
        <v>929.5</v>
      </c>
      <c r="G9" s="14">
        <v>950.63</v>
      </c>
      <c r="H9" s="13">
        <f t="shared" si="0"/>
        <v>908.37</v>
      </c>
      <c r="I9" s="65">
        <f t="shared" si="1"/>
        <v>929.5</v>
      </c>
    </row>
    <row r="10" spans="1:9" ht="90" x14ac:dyDescent="0.25">
      <c r="A10" s="64" t="s">
        <v>32</v>
      </c>
      <c r="B10" s="17" t="s">
        <v>170</v>
      </c>
      <c r="C10" s="16" t="s">
        <v>25</v>
      </c>
      <c r="D10" s="15">
        <v>1</v>
      </c>
      <c r="E10" s="14">
        <v>845</v>
      </c>
      <c r="F10" s="14">
        <v>929.5</v>
      </c>
      <c r="G10" s="14">
        <v>950.63</v>
      </c>
      <c r="H10" s="13">
        <f t="shared" si="0"/>
        <v>908.37</v>
      </c>
      <c r="I10" s="65">
        <f t="shared" si="1"/>
        <v>929.5</v>
      </c>
    </row>
    <row r="11" spans="1:9" ht="90" x14ac:dyDescent="0.25">
      <c r="A11" s="64" t="s">
        <v>30</v>
      </c>
      <c r="B11" s="17" t="s">
        <v>169</v>
      </c>
      <c r="C11" s="16" t="s">
        <v>25</v>
      </c>
      <c r="D11" s="15">
        <v>1</v>
      </c>
      <c r="E11" s="14">
        <v>845</v>
      </c>
      <c r="F11" s="14">
        <v>929.5</v>
      </c>
      <c r="G11" s="14">
        <v>950.63</v>
      </c>
      <c r="H11" s="13">
        <f t="shared" si="0"/>
        <v>908.37</v>
      </c>
      <c r="I11" s="65">
        <f t="shared" si="1"/>
        <v>929.5</v>
      </c>
    </row>
    <row r="12" spans="1:9" ht="90" x14ac:dyDescent="0.25">
      <c r="A12" s="64" t="s">
        <v>28</v>
      </c>
      <c r="B12" s="17" t="s">
        <v>168</v>
      </c>
      <c r="C12" s="16" t="s">
        <v>25</v>
      </c>
      <c r="D12" s="15">
        <v>1</v>
      </c>
      <c r="E12" s="14">
        <v>845</v>
      </c>
      <c r="F12" s="14">
        <v>929.5</v>
      </c>
      <c r="G12" s="14">
        <v>950.63</v>
      </c>
      <c r="H12" s="13">
        <f t="shared" si="0"/>
        <v>908.37</v>
      </c>
      <c r="I12" s="65">
        <f t="shared" si="1"/>
        <v>929.5</v>
      </c>
    </row>
    <row r="13" spans="1:9" ht="90" x14ac:dyDescent="0.25">
      <c r="A13" s="64" t="s">
        <v>26</v>
      </c>
      <c r="B13" s="17" t="s">
        <v>167</v>
      </c>
      <c r="C13" s="16" t="s">
        <v>25</v>
      </c>
      <c r="D13" s="15">
        <v>1</v>
      </c>
      <c r="E13" s="14">
        <v>845</v>
      </c>
      <c r="F13" s="14">
        <v>929.5</v>
      </c>
      <c r="G13" s="14">
        <v>950.63</v>
      </c>
      <c r="H13" s="13">
        <f t="shared" si="0"/>
        <v>908.37</v>
      </c>
      <c r="I13" s="65">
        <f t="shared" si="1"/>
        <v>929.5</v>
      </c>
    </row>
    <row r="14" spans="1:9" ht="108.75" customHeight="1" x14ac:dyDescent="0.25">
      <c r="A14" s="64" t="s">
        <v>23</v>
      </c>
      <c r="B14" s="17" t="s">
        <v>166</v>
      </c>
      <c r="C14" s="16" t="s">
        <v>20</v>
      </c>
      <c r="D14" s="15">
        <v>1</v>
      </c>
      <c r="E14" s="14">
        <v>31.8</v>
      </c>
      <c r="F14" s="14">
        <v>34.979999999999997</v>
      </c>
      <c r="G14" s="14">
        <v>35.78</v>
      </c>
      <c r="H14" s="13">
        <f t="shared" si="0"/>
        <v>34.18</v>
      </c>
      <c r="I14" s="65">
        <f t="shared" si="1"/>
        <v>34.979999999999997</v>
      </c>
    </row>
    <row r="15" spans="1:9" ht="105" x14ac:dyDescent="0.25">
      <c r="A15" s="64" t="s">
        <v>21</v>
      </c>
      <c r="B15" s="17" t="s">
        <v>165</v>
      </c>
      <c r="C15" s="16" t="s">
        <v>20</v>
      </c>
      <c r="D15" s="15">
        <v>1</v>
      </c>
      <c r="E15" s="14">
        <v>32.880000000000003</v>
      </c>
      <c r="F15" s="14">
        <v>36.17</v>
      </c>
      <c r="G15" s="14">
        <v>36.99</v>
      </c>
      <c r="H15" s="13">
        <f t="shared" si="0"/>
        <v>35.340000000000003</v>
      </c>
      <c r="I15" s="65">
        <f t="shared" si="1"/>
        <v>36.17</v>
      </c>
    </row>
    <row r="16" spans="1:9" ht="30" x14ac:dyDescent="0.25">
      <c r="A16" s="64" t="s">
        <v>18</v>
      </c>
      <c r="B16" s="17" t="s">
        <v>242</v>
      </c>
      <c r="C16" s="16" t="s">
        <v>13</v>
      </c>
      <c r="D16" s="15">
        <v>1</v>
      </c>
      <c r="E16" s="14">
        <v>165</v>
      </c>
      <c r="F16" s="14">
        <v>181.5</v>
      </c>
      <c r="G16" s="14">
        <v>185.63</v>
      </c>
      <c r="H16" s="13">
        <f t="shared" si="0"/>
        <v>177.37</v>
      </c>
      <c r="I16" s="65">
        <f t="shared" si="1"/>
        <v>181.5</v>
      </c>
    </row>
    <row r="17" spans="1:9" ht="30" x14ac:dyDescent="0.25">
      <c r="A17" s="64" t="s">
        <v>16</v>
      </c>
      <c r="B17" s="17" t="s">
        <v>164</v>
      </c>
      <c r="C17" s="16" t="s">
        <v>13</v>
      </c>
      <c r="D17" s="15">
        <v>1</v>
      </c>
      <c r="E17" s="14">
        <v>150</v>
      </c>
      <c r="F17" s="14">
        <v>165</v>
      </c>
      <c r="G17" s="14">
        <v>168.75</v>
      </c>
      <c r="H17" s="13">
        <f t="shared" si="0"/>
        <v>161.25</v>
      </c>
      <c r="I17" s="65">
        <f t="shared" si="1"/>
        <v>165</v>
      </c>
    </row>
    <row r="18" spans="1:9" ht="45.75" thickBot="1" x14ac:dyDescent="0.3">
      <c r="A18" s="66" t="s">
        <v>14</v>
      </c>
      <c r="B18" s="67" t="s">
        <v>163</v>
      </c>
      <c r="C18" s="68" t="s">
        <v>13</v>
      </c>
      <c r="D18" s="69">
        <v>1</v>
      </c>
      <c r="E18" s="70">
        <v>160</v>
      </c>
      <c r="F18" s="70">
        <v>176</v>
      </c>
      <c r="G18" s="70">
        <v>180</v>
      </c>
      <c r="H18" s="71">
        <f t="shared" si="0"/>
        <v>172</v>
      </c>
      <c r="I18" s="72">
        <f t="shared" si="1"/>
        <v>176</v>
      </c>
    </row>
    <row r="20" spans="1:9" ht="16.5" customHeight="1" x14ac:dyDescent="0.25">
      <c r="F20" s="12"/>
      <c r="G20" s="12"/>
      <c r="H20" s="12"/>
    </row>
  </sheetData>
  <mergeCells count="4">
    <mergeCell ref="B1:H1"/>
    <mergeCell ref="B2:H2"/>
    <mergeCell ref="B3:E4"/>
    <mergeCell ref="A6:I6"/>
  </mergeCells>
  <pageMargins left="0.51181102362204722" right="0.51181102362204722" top="0.78740157480314965" bottom="0.78740157480314965" header="0.31496062992125984" footer="0.31496062992125984"/>
  <pageSetup paperSize="9" scale="77" fitToHeight="0" orientation="landscape" r:id="rId1"/>
  <headerFooter>
    <oddFooter>&amp;CR. Mte. Estanislau Panatier, 1199 - Jardim Monumento, Campo Grande - MS, CEP: 79063-000 – Fone (067) 3314-3600 - ramal 3640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view="pageBreakPreview" zoomScale="130" zoomScaleNormal="100" zoomScaleSheetLayoutView="130" workbookViewId="0">
      <selection activeCell="F21" sqref="F21"/>
    </sheetView>
  </sheetViews>
  <sheetFormatPr defaultColWidth="8.85546875" defaultRowHeight="9.75" x14ac:dyDescent="0.15"/>
  <cols>
    <col min="1" max="1" width="4.5703125" style="373" bestFit="1" customWidth="1"/>
    <col min="2" max="2" width="32.85546875" style="273" bestFit="1" customWidth="1"/>
    <col min="3" max="3" width="16.140625" style="273" bestFit="1" customWidth="1"/>
    <col min="4" max="4" width="15.85546875" style="273" bestFit="1" customWidth="1"/>
    <col min="5" max="6" width="16.140625" style="273" bestFit="1" customWidth="1"/>
    <col min="7" max="16384" width="8.85546875" style="273"/>
  </cols>
  <sheetData>
    <row r="1" spans="1:6" x14ac:dyDescent="0.15">
      <c r="A1" s="477" t="s">
        <v>194</v>
      </c>
      <c r="B1" s="478"/>
      <c r="C1" s="478"/>
      <c r="D1" s="478"/>
      <c r="E1" s="478"/>
      <c r="F1" s="479"/>
    </row>
    <row r="2" spans="1:6" x14ac:dyDescent="0.15">
      <c r="A2" s="480" t="s">
        <v>111</v>
      </c>
      <c r="B2" s="481"/>
      <c r="C2" s="481"/>
      <c r="D2" s="481"/>
      <c r="E2" s="481"/>
      <c r="F2" s="482"/>
    </row>
    <row r="3" spans="1:6" x14ac:dyDescent="0.15">
      <c r="A3" s="487"/>
      <c r="B3" s="488"/>
      <c r="C3" s="488"/>
      <c r="D3" s="488"/>
      <c r="E3" s="488"/>
      <c r="F3" s="274"/>
    </row>
    <row r="4" spans="1:6" x14ac:dyDescent="0.15">
      <c r="A4" s="371"/>
      <c r="B4" s="275"/>
      <c r="C4" s="275"/>
      <c r="D4" s="275"/>
      <c r="E4" s="275"/>
      <c r="F4" s="274"/>
    </row>
    <row r="5" spans="1:6" x14ac:dyDescent="0.15">
      <c r="A5" s="370"/>
      <c r="B5" s="276"/>
      <c r="C5" s="276"/>
      <c r="D5" s="276"/>
      <c r="E5" s="276"/>
      <c r="F5" s="274"/>
    </row>
    <row r="6" spans="1:6" x14ac:dyDescent="0.15">
      <c r="A6" s="501" t="s">
        <v>110</v>
      </c>
      <c r="B6" s="502"/>
      <c r="C6" s="502"/>
      <c r="D6" s="502"/>
      <c r="E6" s="502"/>
      <c r="F6" s="503"/>
    </row>
    <row r="7" spans="1:6" x14ac:dyDescent="0.15">
      <c r="A7" s="370"/>
      <c r="B7" s="276"/>
      <c r="C7" s="489" t="s">
        <v>107</v>
      </c>
      <c r="D7" s="489"/>
      <c r="E7" s="499" t="s">
        <v>106</v>
      </c>
      <c r="F7" s="500"/>
    </row>
    <row r="8" spans="1:6" x14ac:dyDescent="0.15">
      <c r="A8" s="370"/>
      <c r="B8" s="276"/>
      <c r="C8" s="489" t="s">
        <v>193</v>
      </c>
      <c r="D8" s="489"/>
      <c r="E8" s="490">
        <v>0.26540000000000002</v>
      </c>
      <c r="F8" s="491"/>
    </row>
    <row r="9" spans="1:6" ht="10.5" thickBot="1" x14ac:dyDescent="0.2">
      <c r="A9" s="370"/>
      <c r="B9" s="276"/>
      <c r="C9" s="489" t="s">
        <v>192</v>
      </c>
      <c r="D9" s="489"/>
      <c r="E9" s="492" t="str">
        <f>'PLANILHA ORÇAMENTÁRIA'!F6</f>
        <v>SINAPI - 07/2025 - MS</v>
      </c>
      <c r="F9" s="493"/>
    </row>
    <row r="10" spans="1:6" ht="10.5" thickBot="1" x14ac:dyDescent="0.2">
      <c r="A10" s="496" t="s">
        <v>191</v>
      </c>
      <c r="B10" s="497"/>
      <c r="C10" s="497"/>
      <c r="D10" s="497"/>
      <c r="E10" s="497"/>
      <c r="F10" s="498"/>
    </row>
    <row r="11" spans="1:6" s="279" customFormat="1" ht="10.5" thickBot="1" x14ac:dyDescent="0.3">
      <c r="A11" s="278" t="s">
        <v>103</v>
      </c>
      <c r="B11" s="277" t="s">
        <v>100</v>
      </c>
      <c r="C11" s="494" t="s">
        <v>190</v>
      </c>
      <c r="D11" s="494" t="s">
        <v>189</v>
      </c>
      <c r="E11" s="494" t="s">
        <v>188</v>
      </c>
      <c r="F11" s="494" t="s">
        <v>187</v>
      </c>
    </row>
    <row r="12" spans="1:6" s="279" customFormat="1" ht="10.5" thickBot="1" x14ac:dyDescent="0.3">
      <c r="A12" s="495" t="s">
        <v>186</v>
      </c>
      <c r="B12" s="495"/>
      <c r="C12" s="494"/>
      <c r="D12" s="494"/>
      <c r="E12" s="494"/>
      <c r="F12" s="494"/>
    </row>
    <row r="13" spans="1:6" s="280" customFormat="1" ht="10.5" thickBot="1" x14ac:dyDescent="0.3">
      <c r="A13" s="495"/>
      <c r="B13" s="495"/>
      <c r="C13" s="494"/>
      <c r="D13" s="494"/>
      <c r="E13" s="494"/>
      <c r="F13" s="494"/>
    </row>
    <row r="14" spans="1:6" s="280" customFormat="1" ht="10.5" thickBot="1" x14ac:dyDescent="0.3">
      <c r="A14" s="485">
        <v>1</v>
      </c>
      <c r="B14" s="486" t="s">
        <v>8</v>
      </c>
      <c r="C14" s="374">
        <v>1</v>
      </c>
      <c r="D14" s="374">
        <v>0.6</v>
      </c>
      <c r="E14" s="374">
        <v>0.2</v>
      </c>
      <c r="F14" s="374">
        <v>0.2</v>
      </c>
    </row>
    <row r="15" spans="1:6" s="280" customFormat="1" ht="10.5" thickBot="1" x14ac:dyDescent="0.3">
      <c r="A15" s="485"/>
      <c r="B15" s="485"/>
      <c r="C15" s="281">
        <f>'PLANILHA ORÇAMENTÁRIA'!I16</f>
        <v>23418.54</v>
      </c>
      <c r="D15" s="282">
        <f>TRUNC($C$15*D14,2)</f>
        <v>14051.12</v>
      </c>
      <c r="E15" s="282">
        <f>IF(E14="","",IF(SUM(D14:E14)=1,C15-D15,TRUNC(E14*C15,2)))</f>
        <v>4683.7</v>
      </c>
      <c r="F15" s="282">
        <f>IF(F14="","",IF(SUM($D14:F14)=1,$C15-SUM($D15:E15),TRUNC(F14*$C15,2)))</f>
        <v>4683.7200000000012</v>
      </c>
    </row>
    <row r="16" spans="1:6" ht="10.5" thickBot="1" x14ac:dyDescent="0.2">
      <c r="A16" s="485">
        <v>2</v>
      </c>
      <c r="B16" s="486" t="s">
        <v>77</v>
      </c>
      <c r="C16" s="374">
        <v>1</v>
      </c>
      <c r="D16" s="374">
        <v>0.6</v>
      </c>
      <c r="E16" s="374">
        <v>0.2</v>
      </c>
      <c r="F16" s="374">
        <v>0.2</v>
      </c>
    </row>
    <row r="17" spans="1:6" ht="10.5" thickBot="1" x14ac:dyDescent="0.2">
      <c r="A17" s="485"/>
      <c r="B17" s="485"/>
      <c r="C17" s="281">
        <f>'PLANILHA ORÇAMENTÁRIA'!I25</f>
        <v>434940.45</v>
      </c>
      <c r="D17" s="282">
        <f>TRUNC($C$17*D16,2)</f>
        <v>260964.27</v>
      </c>
      <c r="E17" s="282">
        <f>IF(E16="","",IF(SUM(D16:E16)=1,C17-D17,TRUNC(E16*C17,2)))</f>
        <v>86988.09</v>
      </c>
      <c r="F17" s="282">
        <f>IF(F16="","",IF(SUM($D16:F16)=1,$C17-SUM($D17:E17),TRUNC(F16*$C17,2)))</f>
        <v>86988.090000000026</v>
      </c>
    </row>
    <row r="18" spans="1:6" ht="10.5" thickBot="1" x14ac:dyDescent="0.2">
      <c r="A18" s="483">
        <v>3</v>
      </c>
      <c r="B18" s="483" t="s">
        <v>4</v>
      </c>
      <c r="C18" s="375">
        <v>1</v>
      </c>
      <c r="D18" s="376">
        <v>0.6</v>
      </c>
      <c r="E18" s="376">
        <v>0.2</v>
      </c>
      <c r="F18" s="376">
        <v>0.2</v>
      </c>
    </row>
    <row r="19" spans="1:6" ht="10.5" thickBot="1" x14ac:dyDescent="0.2">
      <c r="A19" s="484"/>
      <c r="B19" s="484"/>
      <c r="C19" s="283">
        <f>'PLANILHA ORÇAMENTÁRIA'!I45</f>
        <v>1484213.46</v>
      </c>
      <c r="D19" s="284">
        <f>TRUNC($C$19*D18,2)</f>
        <v>890528.07</v>
      </c>
      <c r="E19" s="282">
        <f>IF(E18="","",IF(SUM(D18:E18)=1,C19-D19,TRUNC(E18*C19,2)))</f>
        <v>296842.69</v>
      </c>
      <c r="F19" s="282">
        <f>IF(F18="","",IF(SUM($D18:F18)=1,$C19-SUM($D19:E19),TRUNC(F18*$C19,2)))</f>
        <v>296842.69999999995</v>
      </c>
    </row>
    <row r="20" spans="1:6" ht="10.5" thickBot="1" x14ac:dyDescent="0.2">
      <c r="A20" s="372"/>
      <c r="B20" s="286" t="s">
        <v>185</v>
      </c>
      <c r="C20" s="287">
        <f>TRUNC(C15+C17+C19,2)</f>
        <v>1942572.45</v>
      </c>
      <c r="D20" s="287">
        <f>TRUNC(D19+D15+D17,2)</f>
        <v>1165543.46</v>
      </c>
      <c r="E20" s="287">
        <f>TRUNC(E15+E17+E19,2)</f>
        <v>388514.48</v>
      </c>
      <c r="F20" s="287">
        <f>TRUNC(F15+F17+F19,2)</f>
        <v>388514.51</v>
      </c>
    </row>
    <row r="21" spans="1:6" ht="10.5" thickBot="1" x14ac:dyDescent="0.2">
      <c r="A21" s="372"/>
      <c r="B21" s="286" t="s">
        <v>184</v>
      </c>
      <c r="C21" s="288"/>
      <c r="D21" s="287">
        <f>D20</f>
        <v>1165543.46</v>
      </c>
      <c r="E21" s="287">
        <f>TRUNC(E20+D21,2)</f>
        <v>1554057.94</v>
      </c>
      <c r="F21" s="287">
        <f>TRUNC(F20+E21,2)</f>
        <v>1942572.45</v>
      </c>
    </row>
    <row r="22" spans="1:6" ht="10.5" thickBot="1" x14ac:dyDescent="0.2">
      <c r="A22" s="372"/>
      <c r="B22" s="286" t="s">
        <v>183</v>
      </c>
      <c r="C22" s="285"/>
      <c r="D22" s="377">
        <f>D21/C20</f>
        <v>0.5999999948521868</v>
      </c>
      <c r="E22" s="377">
        <f>E20/C20</f>
        <v>0.19999999485218684</v>
      </c>
      <c r="F22" s="377">
        <f>F20/C20</f>
        <v>0.20000001029562631</v>
      </c>
    </row>
    <row r="23" spans="1:6" ht="10.5" thickBot="1" x14ac:dyDescent="0.2">
      <c r="A23" s="372"/>
      <c r="B23" s="286" t="s">
        <v>182</v>
      </c>
      <c r="C23" s="285"/>
      <c r="D23" s="377">
        <f>D22</f>
        <v>0.5999999948521868</v>
      </c>
      <c r="E23" s="377">
        <f>E22+D23</f>
        <v>0.79999998970437369</v>
      </c>
      <c r="F23" s="377">
        <f>F22+E23</f>
        <v>1</v>
      </c>
    </row>
  </sheetData>
  <mergeCells count="22">
    <mergeCell ref="A12:B13"/>
    <mergeCell ref="A10:F10"/>
    <mergeCell ref="F11:F13"/>
    <mergeCell ref="E7:F7"/>
    <mergeCell ref="A6:F6"/>
    <mergeCell ref="E11:E13"/>
    <mergeCell ref="A1:F1"/>
    <mergeCell ref="A2:F2"/>
    <mergeCell ref="A18:A19"/>
    <mergeCell ref="B18:B19"/>
    <mergeCell ref="A14:A15"/>
    <mergeCell ref="B14:B15"/>
    <mergeCell ref="A16:A17"/>
    <mergeCell ref="B16:B17"/>
    <mergeCell ref="A3:E3"/>
    <mergeCell ref="C7:D7"/>
    <mergeCell ref="E8:F8"/>
    <mergeCell ref="E9:F9"/>
    <mergeCell ref="D11:D13"/>
    <mergeCell ref="C9:D9"/>
    <mergeCell ref="C8:D8"/>
    <mergeCell ref="C11:C13"/>
  </mergeCells>
  <pageMargins left="0.51181102362204722" right="0.51181102362204722" top="0.78740157480314965" bottom="0.78740157480314965" header="0.31496062992125984" footer="0.31496062992125984"/>
  <pageSetup paperSize="9" fitToHeight="0" orientation="landscape" r:id="rId1"/>
  <headerFooter>
    <oddFooter>&amp;CR. Mte. Estanislau Panatier, 1199 - Jardim Monumento, Campo Grande - MS, CEP: 79063-000 – Fone (067) 3314-3600 - ramal 3640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rgb="FFFF0000"/>
  </sheetPr>
  <dimension ref="A1:P153"/>
  <sheetViews>
    <sheetView showGridLines="0" view="pageBreakPreview" zoomScaleNormal="85" zoomScaleSheetLayoutView="100" workbookViewId="0">
      <selection activeCell="A134" sqref="A134"/>
    </sheetView>
  </sheetViews>
  <sheetFormatPr defaultRowHeight="9.75" zeroHeight="1" x14ac:dyDescent="0.15"/>
  <cols>
    <col min="1" max="1" width="13.85546875" style="212" customWidth="1"/>
    <col min="2" max="2" width="33.7109375" style="212" customWidth="1"/>
    <col min="3" max="3" width="13" style="212" customWidth="1"/>
    <col min="4" max="4" width="10.140625" style="212" customWidth="1"/>
    <col min="5" max="5" width="14.42578125" style="212" customWidth="1"/>
    <col min="6" max="6" width="13.7109375" style="212" customWidth="1"/>
    <col min="7" max="7" width="11.5703125" style="214" customWidth="1"/>
    <col min="8" max="8" width="13.7109375" style="214" customWidth="1"/>
    <col min="9" max="9" width="11.42578125" style="214" customWidth="1"/>
    <col min="10" max="10" width="15.140625" style="212" hidden="1" customWidth="1"/>
    <col min="11" max="11" width="2.140625" style="212" hidden="1" customWidth="1"/>
    <col min="12" max="12" width="11.5703125" style="212" hidden="1" customWidth="1"/>
    <col min="13" max="13" width="9.28515625" style="212" hidden="1" customWidth="1"/>
    <col min="14" max="16" width="0" style="212" hidden="1" customWidth="1"/>
    <col min="17" max="16384" width="9.140625" style="212"/>
  </cols>
  <sheetData>
    <row r="1" spans="1:16" ht="12.75" x14ac:dyDescent="0.2">
      <c r="A1" s="324"/>
      <c r="B1" s="472" t="s">
        <v>112</v>
      </c>
      <c r="C1" s="472"/>
      <c r="D1" s="472"/>
      <c r="E1" s="472"/>
      <c r="F1" s="472"/>
      <c r="G1" s="472"/>
      <c r="H1" s="472"/>
      <c r="I1" s="325"/>
    </row>
    <row r="2" spans="1:16" ht="12.75" x14ac:dyDescent="0.2">
      <c r="A2" s="326"/>
      <c r="B2" s="473" t="s">
        <v>111</v>
      </c>
      <c r="C2" s="473"/>
      <c r="D2" s="473"/>
      <c r="E2" s="473"/>
      <c r="F2" s="473"/>
      <c r="G2" s="473"/>
      <c r="H2" s="473"/>
      <c r="I2" s="74"/>
    </row>
    <row r="3" spans="1:16" ht="38.25" x14ac:dyDescent="0.15">
      <c r="A3" s="45"/>
      <c r="B3" s="522" t="s">
        <v>110</v>
      </c>
      <c r="C3" s="522"/>
      <c r="D3" s="522"/>
      <c r="E3" s="522"/>
      <c r="F3" s="89" t="s">
        <v>109</v>
      </c>
      <c r="G3" s="48" t="str">
        <f>'PLANILHA ORÇAMENTÁRIA'!F6</f>
        <v>SINAPI - 07/2025 - MS</v>
      </c>
      <c r="H3" s="327" t="s">
        <v>107</v>
      </c>
      <c r="I3" s="328" t="s">
        <v>106</v>
      </c>
    </row>
    <row r="4" spans="1:16" ht="12.75" x14ac:dyDescent="0.15">
      <c r="A4" s="46"/>
      <c r="B4" s="522"/>
      <c r="C4" s="522"/>
      <c r="D4" s="522"/>
      <c r="E4" s="522"/>
      <c r="F4" s="6"/>
      <c r="G4" s="6"/>
      <c r="H4" s="327" t="s">
        <v>105</v>
      </c>
      <c r="I4" s="329">
        <v>0.26540000000000002</v>
      </c>
    </row>
    <row r="5" spans="1:16" ht="12.75" x14ac:dyDescent="0.2">
      <c r="A5" s="46"/>
      <c r="B5" s="47"/>
      <c r="C5" s="47"/>
      <c r="D5" s="73"/>
      <c r="E5" s="73"/>
      <c r="F5" s="6"/>
      <c r="G5" s="6"/>
      <c r="H5" s="327" t="s">
        <v>104</v>
      </c>
      <c r="I5" s="329">
        <v>0.15279999999999999</v>
      </c>
    </row>
    <row r="6" spans="1:16" ht="12.75" x14ac:dyDescent="0.15">
      <c r="A6" s="523" t="s">
        <v>181</v>
      </c>
      <c r="B6" s="524"/>
      <c r="C6" s="524"/>
      <c r="D6" s="524"/>
      <c r="E6" s="524"/>
      <c r="F6" s="524"/>
      <c r="G6" s="524"/>
      <c r="H6" s="524"/>
      <c r="I6" s="525"/>
    </row>
    <row r="7" spans="1:16" ht="63.75" x14ac:dyDescent="0.15">
      <c r="A7" s="62" t="s">
        <v>180</v>
      </c>
      <c r="B7" s="18" t="s">
        <v>179</v>
      </c>
      <c r="C7" s="18" t="s">
        <v>13</v>
      </c>
      <c r="D7" s="18" t="s">
        <v>178</v>
      </c>
      <c r="E7" s="18" t="s">
        <v>177</v>
      </c>
      <c r="F7" s="18" t="s">
        <v>176</v>
      </c>
      <c r="G7" s="18" t="s">
        <v>175</v>
      </c>
      <c r="H7" s="18" t="s">
        <v>174</v>
      </c>
      <c r="I7" s="63" t="s">
        <v>173</v>
      </c>
    </row>
    <row r="8" spans="1:16" ht="144.94999999999999" customHeight="1" x14ac:dyDescent="0.15">
      <c r="A8" s="330" t="s">
        <v>36</v>
      </c>
      <c r="B8" s="331" t="s">
        <v>288</v>
      </c>
      <c r="C8" s="332" t="s">
        <v>25</v>
      </c>
      <c r="D8" s="15">
        <v>1</v>
      </c>
      <c r="E8" s="333">
        <v>845</v>
      </c>
      <c r="F8" s="333">
        <v>929.5</v>
      </c>
      <c r="G8" s="333">
        <v>950.63</v>
      </c>
      <c r="H8" s="334">
        <f t="shared" ref="H8:H18" si="0">TRUNC(AVERAGE(E8:G8),2)</f>
        <v>908.37</v>
      </c>
      <c r="I8" s="335">
        <f t="shared" ref="I8:I18" si="1">TRUNC(MEDIAN(E8:G8),2)</f>
        <v>929.5</v>
      </c>
    </row>
    <row r="9" spans="1:16" ht="132" customHeight="1" x14ac:dyDescent="0.15">
      <c r="A9" s="330" t="s">
        <v>34</v>
      </c>
      <c r="B9" s="331" t="s">
        <v>289</v>
      </c>
      <c r="C9" s="332" t="s">
        <v>25</v>
      </c>
      <c r="D9" s="15">
        <v>1</v>
      </c>
      <c r="E9" s="333">
        <v>845</v>
      </c>
      <c r="F9" s="333">
        <v>929.5</v>
      </c>
      <c r="G9" s="333">
        <v>950.63</v>
      </c>
      <c r="H9" s="334">
        <f t="shared" si="0"/>
        <v>908.37</v>
      </c>
      <c r="I9" s="335">
        <f t="shared" si="1"/>
        <v>929.5</v>
      </c>
    </row>
    <row r="10" spans="1:16" ht="132" customHeight="1" x14ac:dyDescent="0.15">
      <c r="A10" s="330" t="s">
        <v>32</v>
      </c>
      <c r="B10" s="331" t="s">
        <v>290</v>
      </c>
      <c r="C10" s="332" t="s">
        <v>25</v>
      </c>
      <c r="D10" s="15">
        <v>1</v>
      </c>
      <c r="E10" s="333">
        <v>845</v>
      </c>
      <c r="F10" s="333">
        <v>929.5</v>
      </c>
      <c r="G10" s="333">
        <v>950.63</v>
      </c>
      <c r="H10" s="334">
        <f t="shared" si="0"/>
        <v>908.37</v>
      </c>
      <c r="I10" s="335">
        <f t="shared" si="1"/>
        <v>929.5</v>
      </c>
    </row>
    <row r="11" spans="1:16" ht="144.94999999999999" customHeight="1" x14ac:dyDescent="0.15">
      <c r="A11" s="330" t="s">
        <v>30</v>
      </c>
      <c r="B11" s="331" t="s">
        <v>291</v>
      </c>
      <c r="C11" s="332" t="s">
        <v>25</v>
      </c>
      <c r="D11" s="15">
        <v>1</v>
      </c>
      <c r="E11" s="333">
        <v>845</v>
      </c>
      <c r="F11" s="333">
        <v>929.5</v>
      </c>
      <c r="G11" s="333">
        <v>950.63</v>
      </c>
      <c r="H11" s="334">
        <f t="shared" si="0"/>
        <v>908.37</v>
      </c>
      <c r="I11" s="335">
        <f t="shared" si="1"/>
        <v>929.5</v>
      </c>
    </row>
    <row r="12" spans="1:16" ht="144.94999999999999" customHeight="1" x14ac:dyDescent="0.15">
      <c r="A12" s="330" t="s">
        <v>28</v>
      </c>
      <c r="B12" s="331" t="s">
        <v>292</v>
      </c>
      <c r="C12" s="332" t="s">
        <v>25</v>
      </c>
      <c r="D12" s="15">
        <v>1</v>
      </c>
      <c r="E12" s="333">
        <v>845</v>
      </c>
      <c r="F12" s="333">
        <v>929.5</v>
      </c>
      <c r="G12" s="333">
        <v>950.63</v>
      </c>
      <c r="H12" s="334">
        <f t="shared" si="0"/>
        <v>908.37</v>
      </c>
      <c r="I12" s="335">
        <f t="shared" si="1"/>
        <v>929.5</v>
      </c>
    </row>
    <row r="13" spans="1:16" ht="132" customHeight="1" x14ac:dyDescent="0.15">
      <c r="A13" s="330" t="s">
        <v>26</v>
      </c>
      <c r="B13" s="331" t="s">
        <v>293</v>
      </c>
      <c r="C13" s="332" t="s">
        <v>25</v>
      </c>
      <c r="D13" s="15">
        <v>1</v>
      </c>
      <c r="E13" s="333">
        <v>845</v>
      </c>
      <c r="F13" s="333">
        <v>929.5</v>
      </c>
      <c r="G13" s="333">
        <v>950.63</v>
      </c>
      <c r="H13" s="334">
        <f t="shared" si="0"/>
        <v>908.37</v>
      </c>
      <c r="I13" s="335">
        <f t="shared" si="1"/>
        <v>929.5</v>
      </c>
    </row>
    <row r="14" spans="1:16" ht="171.95" customHeight="1" x14ac:dyDescent="0.15">
      <c r="A14" s="330" t="s">
        <v>23</v>
      </c>
      <c r="B14" s="331" t="s">
        <v>166</v>
      </c>
      <c r="C14" s="332" t="s">
        <v>20</v>
      </c>
      <c r="D14" s="15">
        <v>1</v>
      </c>
      <c r="E14" s="333">
        <v>31.8</v>
      </c>
      <c r="F14" s="333">
        <v>34.979999999999997</v>
      </c>
      <c r="G14" s="333">
        <v>35.78</v>
      </c>
      <c r="H14" s="334">
        <f t="shared" si="0"/>
        <v>34.18</v>
      </c>
      <c r="I14" s="335">
        <f t="shared" si="1"/>
        <v>34.979999999999997</v>
      </c>
    </row>
    <row r="15" spans="1:16" ht="171.95" customHeight="1" x14ac:dyDescent="0.15">
      <c r="A15" s="330" t="s">
        <v>21</v>
      </c>
      <c r="B15" s="331" t="s">
        <v>165</v>
      </c>
      <c r="C15" s="332" t="s">
        <v>20</v>
      </c>
      <c r="D15" s="15">
        <v>1</v>
      </c>
      <c r="E15" s="333">
        <v>32.880000000000003</v>
      </c>
      <c r="F15" s="333">
        <v>36.17</v>
      </c>
      <c r="G15" s="333">
        <v>36.99</v>
      </c>
      <c r="H15" s="334">
        <f t="shared" si="0"/>
        <v>35.340000000000003</v>
      </c>
      <c r="I15" s="335">
        <f t="shared" si="1"/>
        <v>36.17</v>
      </c>
    </row>
    <row r="16" spans="1:16" ht="39.950000000000003" customHeight="1" x14ac:dyDescent="0.15">
      <c r="A16" s="330" t="s">
        <v>18</v>
      </c>
      <c r="B16" s="331" t="s">
        <v>242</v>
      </c>
      <c r="C16" s="332" t="s">
        <v>13</v>
      </c>
      <c r="D16" s="15">
        <v>1</v>
      </c>
      <c r="E16" s="333">
        <v>150</v>
      </c>
      <c r="F16" s="333">
        <v>165</v>
      </c>
      <c r="G16" s="333">
        <v>168.75</v>
      </c>
      <c r="H16" s="334">
        <f t="shared" si="0"/>
        <v>161.25</v>
      </c>
      <c r="I16" s="335">
        <f t="shared" si="1"/>
        <v>165</v>
      </c>
      <c r="N16" s="212">
        <v>165</v>
      </c>
      <c r="O16" s="212">
        <v>181.5</v>
      </c>
      <c r="P16" s="212">
        <v>185.63</v>
      </c>
    </row>
    <row r="17" spans="1:16" ht="39.950000000000003" customHeight="1" x14ac:dyDescent="0.15">
      <c r="A17" s="330" t="s">
        <v>16</v>
      </c>
      <c r="B17" s="331" t="s">
        <v>164</v>
      </c>
      <c r="C17" s="332" t="s">
        <v>13</v>
      </c>
      <c r="D17" s="15">
        <v>1</v>
      </c>
      <c r="E17" s="333">
        <v>165</v>
      </c>
      <c r="F17" s="333">
        <v>181.5</v>
      </c>
      <c r="G17" s="333">
        <v>185.63</v>
      </c>
      <c r="H17" s="334">
        <f t="shared" si="0"/>
        <v>177.37</v>
      </c>
      <c r="I17" s="335">
        <f t="shared" si="1"/>
        <v>181.5</v>
      </c>
      <c r="N17" s="212">
        <v>150</v>
      </c>
      <c r="O17" s="212">
        <v>165</v>
      </c>
      <c r="P17" s="212">
        <v>168.75</v>
      </c>
    </row>
    <row r="18" spans="1:16" ht="66.95" customHeight="1" thickBot="1" x14ac:dyDescent="0.2">
      <c r="A18" s="336" t="s">
        <v>14</v>
      </c>
      <c r="B18" s="337" t="s">
        <v>163</v>
      </c>
      <c r="C18" s="338" t="s">
        <v>140</v>
      </c>
      <c r="D18" s="69">
        <v>1</v>
      </c>
      <c r="E18" s="339">
        <v>160</v>
      </c>
      <c r="F18" s="339">
        <v>176</v>
      </c>
      <c r="G18" s="339">
        <v>180</v>
      </c>
      <c r="H18" s="340">
        <f t="shared" si="0"/>
        <v>172</v>
      </c>
      <c r="I18" s="341">
        <f t="shared" si="1"/>
        <v>176</v>
      </c>
    </row>
    <row r="19" spans="1:16" x14ac:dyDescent="0.15">
      <c r="A19" s="215"/>
      <c r="B19" s="216"/>
      <c r="C19" s="217"/>
      <c r="D19" s="218"/>
      <c r="E19" s="214"/>
      <c r="F19" s="214"/>
      <c r="H19" s="219"/>
      <c r="I19" s="219"/>
      <c r="J19" s="214"/>
    </row>
    <row r="20" spans="1:16" x14ac:dyDescent="0.15">
      <c r="A20" s="215"/>
      <c r="B20" s="216"/>
      <c r="C20" s="217"/>
      <c r="D20" s="218"/>
      <c r="E20" s="214"/>
      <c r="F20" s="214"/>
      <c r="H20" s="220">
        <v>0.25</v>
      </c>
      <c r="I20" s="220">
        <v>0.75</v>
      </c>
      <c r="J20" s="214"/>
    </row>
    <row r="21" spans="1:16" x14ac:dyDescent="0.15">
      <c r="A21" s="215"/>
      <c r="B21" s="221"/>
      <c r="C21" s="222"/>
      <c r="D21" s="223"/>
      <c r="E21" s="214"/>
      <c r="F21" s="214"/>
      <c r="J21" s="214"/>
    </row>
    <row r="22" spans="1:16" ht="10.5" customHeight="1" thickBot="1" x14ac:dyDescent="0.2">
      <c r="A22" s="215"/>
      <c r="B22" s="271" t="s">
        <v>262</v>
      </c>
      <c r="C22" s="270"/>
      <c r="D22" s="270"/>
      <c r="E22" s="270"/>
      <c r="F22" s="270"/>
      <c r="G22" s="270"/>
      <c r="H22" s="270"/>
      <c r="I22" s="270"/>
      <c r="J22" s="214"/>
    </row>
    <row r="23" spans="1:16" ht="10.5" thickTop="1" x14ac:dyDescent="0.15">
      <c r="A23" s="215"/>
      <c r="B23" s="224"/>
      <c r="C23" s="225" t="s">
        <v>181</v>
      </c>
      <c r="D23" s="225"/>
      <c r="E23" s="226"/>
      <c r="F23" s="227" t="s">
        <v>244</v>
      </c>
      <c r="G23" s="228"/>
      <c r="H23" s="229" t="s">
        <v>245</v>
      </c>
      <c r="I23" s="230"/>
      <c r="J23" s="214"/>
    </row>
    <row r="24" spans="1:16" ht="39" x14ac:dyDescent="0.15">
      <c r="A24" s="215"/>
      <c r="B24" s="231" t="s">
        <v>246</v>
      </c>
      <c r="C24" s="232" t="s">
        <v>247</v>
      </c>
      <c r="D24" s="232" t="s">
        <v>248</v>
      </c>
      <c r="E24" s="233" t="s">
        <v>249</v>
      </c>
      <c r="F24" s="234" t="s">
        <v>250</v>
      </c>
      <c r="G24" s="235" t="s">
        <v>251</v>
      </c>
      <c r="H24" s="234" t="s">
        <v>252</v>
      </c>
      <c r="I24" s="236" t="s">
        <v>253</v>
      </c>
      <c r="J24" s="232" t="s">
        <v>261</v>
      </c>
      <c r="K24" s="214"/>
    </row>
    <row r="25" spans="1:16" x14ac:dyDescent="0.15">
      <c r="A25" s="215"/>
      <c r="B25" s="237">
        <v>45894</v>
      </c>
      <c r="C25" s="232" t="s">
        <v>254</v>
      </c>
      <c r="D25" s="238">
        <v>845</v>
      </c>
      <c r="E25" s="223">
        <f>IFERROR(AVERAGEIF(Tabela411[[#All],[EMPRESA]],Tabela411[[#This Row],[ITEM2]],Tabela411[[#All],[VALORES]]),"")</f>
        <v>940.06500000000005</v>
      </c>
      <c r="F25" s="239">
        <f>IFERROR(Tabela411[[#This Row],[VALORES]]/Tabela411[[#This Row],[MÉDIA DOS DEMAIS]]-1,"")</f>
        <v>-0.10112598596905542</v>
      </c>
      <c r="G25" s="240" t="str">
        <f>IF(AND(Tabela411[[#This Row],[VALORES]]=0,D24=0,D25=0),"",IF(AND(Tabela411[[#This Row],[VALORES]]=0,D25=0,D26=0),"",IF(AND(Tabela411[[#This Row],[VALORES]]=0,D26=0,D27=0),"",IF(Tabela411[[#This Row],[PERCENTUAL EM RELAÇÃO A MÉDIA DOS DEMAIS PREÇOS]]&gt;LIM_SUP,"EXCESSIVAMENTE ELEVADO","VÁLIDO"))))</f>
        <v>VÁLIDO</v>
      </c>
      <c r="H25" s="241">
        <f>IFERROR(Tabela411[[#This Row],[VALORES]]/Tabela411[[#This Row],[MÉDIA DOS DEMAIS]],"")</f>
        <v>0.89887401403094458</v>
      </c>
      <c r="I25" s="242" t="str">
        <f>IF(AND(Tabela411[[#This Row],[VALORES]]=0,D24=0,D25=0),"",IF(AND(Tabela411[[#This Row],[VALORES]]=0,D25=0,D26=0),"",IF(AND(Tabela411[[#This Row],[VALORES]]=0,D26=0,D27=0),"",IF(Tabela411[[#This Row],[PERCENTUAL EM RELAÇÃO A MÉDIA DOS DEMAIS PREÇOS ]]&lt;LIM_INF,"INEXEQUEVEL","VÁLIDO"))))</f>
        <v>VÁLIDO</v>
      </c>
      <c r="J25" s="243" t="str">
        <f>CONCATENATE("&lt;&gt;",Tabela411[[#This Row],[EMPRESA]])</f>
        <v xml:space="preserve">&lt;&gt;FORTLUX </v>
      </c>
      <c r="K25" s="214"/>
      <c r="L25" s="244">
        <f>B25+180</f>
        <v>46074</v>
      </c>
      <c r="M25" s="212" t="e">
        <f>IF(L25=#REF!,"",IF((L25-#REF!)&lt;0,ROUNDDOWN(L25-#REF!,0)&amp;" dias","+"&amp;ROUNDDOWN(L25-#REF!,0)&amp;" dias"))</f>
        <v>#REF!</v>
      </c>
    </row>
    <row r="26" spans="1:16" x14ac:dyDescent="0.15">
      <c r="A26" s="215"/>
      <c r="B26" s="237">
        <v>45894</v>
      </c>
      <c r="C26" s="232" t="s">
        <v>255</v>
      </c>
      <c r="D26" s="238">
        <v>929.5</v>
      </c>
      <c r="E26" s="223">
        <f>IFERROR(AVERAGEIF(Tabela411[[#All],[EMPRESA]],Tabela411[[#This Row],[ITEM2]],Tabela411[[#All],[VALORES]]),"")</f>
        <v>897.81500000000005</v>
      </c>
      <c r="F26" s="245">
        <f>IFERROR(Tabela411[[#This Row],[VALORES]]/Tabela411[[#This Row],[MÉDIA DOS DEMAIS]]-1,"")</f>
        <v>3.529123483122909E-2</v>
      </c>
      <c r="G26" s="246" t="str">
        <f>IF(AND(Tabela411[[#This Row],[VALORES]]=0,D25=0,D26=0),"",IF(AND(Tabela411[[#This Row],[VALORES]]=0,D26=0,D27=0),"",IF(AND(Tabela411[[#This Row],[VALORES]]=0,D27=0,D28=0),"",IF(Tabela411[[#This Row],[PERCENTUAL EM RELAÇÃO A MÉDIA DOS DEMAIS PREÇOS]]&gt;LIM_SUP,"EXCESSIVAMENTE ELEVADO","VÁLIDO"))))</f>
        <v>VÁLIDO</v>
      </c>
      <c r="H26" s="241">
        <f>IFERROR(Tabela411[[#This Row],[VALORES]]/Tabela411[[#This Row],[MÉDIA DOS DEMAIS]],"")</f>
        <v>1.0352912348312291</v>
      </c>
      <c r="I26" s="247" t="str">
        <f>IF(AND(Tabela411[[#This Row],[VALORES]]=0,D25=0,D26=0),"",IF(AND(Tabela411[[#This Row],[VALORES]]=0,D26=0,D27=0),"",IF(AND(Tabela411[[#This Row],[VALORES]]=0,D27=0,D28=0),"",IF(Tabela411[[#This Row],[PERCENTUAL EM RELAÇÃO A MÉDIA DOS DEMAIS PREÇOS ]]&lt;LIM_INF,"INEXEQUEVEL","VÁLIDO"))))</f>
        <v>VÁLIDO</v>
      </c>
      <c r="J26" s="243" t="str">
        <f>CONCATENATE("&lt;&gt;",Tabela411[[#This Row],[EMPRESA]])</f>
        <v>&lt;&gt;DN DECOR LTDA</v>
      </c>
      <c r="K26" s="214"/>
      <c r="L26" s="244">
        <f t="shared" ref="L26:L27" si="2">B26+180</f>
        <v>46074</v>
      </c>
      <c r="M26" s="212" t="e">
        <f>IF(L26=#REF!,"",IF((L26-#REF!)&lt;0,ROUNDDOWN(L26-#REF!,0)&amp;" dias","+"&amp;ROUNDDOWN(L26-#REF!,0)&amp;" dias"))</f>
        <v>#REF!</v>
      </c>
    </row>
    <row r="27" spans="1:16" ht="10.5" thickBot="1" x14ac:dyDescent="0.2">
      <c r="A27" s="215"/>
      <c r="B27" s="237">
        <v>45895</v>
      </c>
      <c r="C27" s="232" t="s">
        <v>256</v>
      </c>
      <c r="D27" s="238">
        <v>950.63</v>
      </c>
      <c r="E27" s="223">
        <f>IFERROR(AVERAGEIF(Tabela411[[#All],[EMPRESA]],Tabela411[[#This Row],[ITEM2]],Tabela411[[#All],[VALORES]]),"")</f>
        <v>887.25</v>
      </c>
      <c r="F27" s="239">
        <f>IFERROR(Tabela411[[#This Row],[VALORES]]/Tabela411[[#This Row],[MÉDIA DOS DEMAIS]]-1,"")</f>
        <v>7.1434206818822288E-2</v>
      </c>
      <c r="G27" s="240" t="str">
        <f>IF(AND(Tabela411[[#This Row],[VALORES]]=0,D26=0,D27=0),"",IF(AND(Tabela411[[#This Row],[VALORES]]=0,D27=0,D28=0),"",IF(AND(Tabela411[[#This Row],[VALORES]]=0,D28=0,D29=0),"",IF(Tabela411[[#This Row],[PERCENTUAL EM RELAÇÃO A MÉDIA DOS DEMAIS PREÇOS]]&gt;LIM_SUP,"EXCESSIVAMENTE ELEVADO","VÁLIDO"))))</f>
        <v>VÁLIDO</v>
      </c>
      <c r="H27" s="241">
        <f>IFERROR(Tabela411[[#This Row],[VALORES]]/Tabela411[[#This Row],[MÉDIA DOS DEMAIS]],"")</f>
        <v>1.0714342068188223</v>
      </c>
      <c r="I27" s="242" t="str">
        <f>IF(AND(Tabela411[[#This Row],[VALORES]]=0,D26=0,D27=0),"",IF(AND(Tabela411[[#This Row],[VALORES]]=0,D27=0,D28=0),"",IF(AND(Tabela411[[#This Row],[VALORES]]=0,D28=0,D29=0),"",IF(Tabela411[[#This Row],[PERCENTUAL EM RELAÇÃO A MÉDIA DOS DEMAIS PREÇOS ]]&lt;LIM_INF,"INEXEQUEVEL","VÁLIDO"))))</f>
        <v>VÁLIDO</v>
      </c>
      <c r="J27" s="243" t="str">
        <f>CONCATENATE("&lt;&gt;",Tabela411[[#This Row],[EMPRESA]])</f>
        <v>&lt;&gt;AUTOENG</v>
      </c>
      <c r="K27" s="214"/>
      <c r="L27" s="244">
        <f t="shared" si="2"/>
        <v>46075</v>
      </c>
      <c r="M27" s="212" t="e">
        <f>IF(L27=#REF!,"",IF((L27-#REF!)&lt;0,ROUNDDOWN(L27-#REF!,0)&amp;" dias","+"&amp;ROUNDDOWN(L27-#REF!,0)&amp;" dias"))</f>
        <v>#REF!</v>
      </c>
    </row>
    <row r="28" spans="1:16" ht="10.5" customHeight="1" thickTop="1" x14ac:dyDescent="0.15">
      <c r="A28" s="215"/>
      <c r="B28" s="248"/>
      <c r="C28" s="249"/>
      <c r="D28" s="250" t="s">
        <v>284</v>
      </c>
      <c r="E28" s="251">
        <f>IFERROR(_xlfn.STDEV.S(Tabela411[VALORES]),"")</f>
        <v>55.893386311202626</v>
      </c>
      <c r="F28" s="510" t="s">
        <v>257</v>
      </c>
      <c r="G28" s="511"/>
      <c r="H28" s="511"/>
      <c r="I28" s="512"/>
      <c r="J28" s="214"/>
    </row>
    <row r="29" spans="1:16" x14ac:dyDescent="0.15">
      <c r="A29" s="215"/>
      <c r="B29" s="252"/>
      <c r="C29" s="253"/>
      <c r="D29" s="254" t="s">
        <v>285</v>
      </c>
      <c r="E29" s="272">
        <f>IFERROR(TRUNC(E28/E30,4),"")</f>
        <v>6.1499999999999999E-2</v>
      </c>
      <c r="F29" s="513"/>
      <c r="G29" s="514"/>
      <c r="H29" s="514"/>
      <c r="I29" s="515"/>
      <c r="J29" s="214"/>
    </row>
    <row r="30" spans="1:16" ht="9.75" customHeight="1" x14ac:dyDescent="0.15">
      <c r="A30" s="215"/>
      <c r="B30" s="256"/>
      <c r="C30" s="257"/>
      <c r="D30" s="254" t="s">
        <v>258</v>
      </c>
      <c r="E30" s="258">
        <f>IFERROR(AVERAGE(Tabela411[VALORES]),"")</f>
        <v>908.37666666666667</v>
      </c>
      <c r="F30" s="504" t="s">
        <v>259</v>
      </c>
      <c r="G30" s="505"/>
      <c r="H30" s="505"/>
      <c r="I30" s="506"/>
      <c r="J30" s="214"/>
    </row>
    <row r="31" spans="1:16" ht="15.75" customHeight="1" thickBot="1" x14ac:dyDescent="0.2">
      <c r="A31" s="215"/>
      <c r="B31" s="259"/>
      <c r="C31" s="260" t="s">
        <v>260</v>
      </c>
      <c r="D31" s="260" t="str">
        <f>CONCATENATE(IF(E29&gt;=25%,"MEDIANA","MÉDIA"))</f>
        <v>MÉDIA</v>
      </c>
      <c r="E31" s="261">
        <f>IFERROR(TRUNC(IF(D31="MEDIANA",MEDIAN(Tabela411[VALORES]),IF(D31="MÉDIA",AVERAGE(Tabela411[VALORES]),0)),2),"")</f>
        <v>908.37</v>
      </c>
      <c r="F31" s="507"/>
      <c r="G31" s="508"/>
      <c r="H31" s="508"/>
      <c r="I31" s="509"/>
      <c r="J31" s="214"/>
    </row>
    <row r="32" spans="1:16" ht="10.5" thickTop="1" x14ac:dyDescent="0.15">
      <c r="A32" s="215"/>
      <c r="D32" s="262"/>
      <c r="E32" s="263"/>
    </row>
    <row r="33" spans="1:13" ht="10.5" thickBot="1" x14ac:dyDescent="0.2">
      <c r="A33" s="215"/>
      <c r="B33" s="264" t="s">
        <v>263</v>
      </c>
      <c r="C33" s="265"/>
      <c r="D33" s="265"/>
      <c r="E33" s="265"/>
      <c r="F33" s="265"/>
      <c r="G33" s="265"/>
      <c r="H33" s="265"/>
      <c r="I33" s="265"/>
      <c r="J33" s="214"/>
    </row>
    <row r="34" spans="1:13" ht="10.5" thickTop="1" x14ac:dyDescent="0.15">
      <c r="A34" s="215"/>
      <c r="B34" s="224"/>
      <c r="C34" s="225" t="s">
        <v>181</v>
      </c>
      <c r="D34" s="225"/>
      <c r="E34" s="226"/>
      <c r="F34" s="227" t="s">
        <v>244</v>
      </c>
      <c r="G34" s="228"/>
      <c r="H34" s="229" t="s">
        <v>245</v>
      </c>
      <c r="I34" s="230"/>
      <c r="J34" s="214"/>
    </row>
    <row r="35" spans="1:13" ht="39" x14ac:dyDescent="0.15">
      <c r="A35" s="215"/>
      <c r="B35" s="231" t="s">
        <v>246</v>
      </c>
      <c r="C35" s="232" t="s">
        <v>247</v>
      </c>
      <c r="D35" s="232" t="s">
        <v>248</v>
      </c>
      <c r="E35" s="233" t="s">
        <v>249</v>
      </c>
      <c r="F35" s="234" t="s">
        <v>250</v>
      </c>
      <c r="G35" s="235" t="s">
        <v>251</v>
      </c>
      <c r="H35" s="234" t="s">
        <v>252</v>
      </c>
      <c r="I35" s="236" t="s">
        <v>253</v>
      </c>
      <c r="J35" s="232" t="s">
        <v>261</v>
      </c>
      <c r="K35" s="214"/>
    </row>
    <row r="36" spans="1:13" x14ac:dyDescent="0.15">
      <c r="A36" s="215"/>
      <c r="B36" s="237">
        <v>45894</v>
      </c>
      <c r="C36" s="232" t="s">
        <v>254</v>
      </c>
      <c r="D36" s="238">
        <v>845</v>
      </c>
      <c r="E36" s="223">
        <f>IFERROR(AVERAGEIF(Tabela41112[[#All],[EMPRESA]],Tabela41112[[#This Row],[ITEM2]],Tabela41112[[#All],[VALORES]]),"")</f>
        <v>940.06500000000005</v>
      </c>
      <c r="F36" s="239">
        <f>IFERROR(Tabela41112[[#This Row],[VALORES]]/Tabela41112[[#This Row],[MÉDIA DOS DEMAIS]]-1,"")</f>
        <v>-0.10112598596905542</v>
      </c>
      <c r="G36" s="240" t="str">
        <f>IF(AND(Tabela41112[[#This Row],[VALORES]]=0,D35=0,D36=0),"",IF(AND(Tabela41112[[#This Row],[VALORES]]=0,D36=0,D37=0),"",IF(AND(Tabela41112[[#This Row],[VALORES]]=0,D37=0,D38=0),"",IF(Tabela41112[[#This Row],[PERCENTUAL EM RELAÇÃO A MÉDIA DOS DEMAIS PREÇOS]]&gt;LIM_SUP,"EXCESSIVAMENTE ELEVADO","VÁLIDO"))))</f>
        <v>VÁLIDO</v>
      </c>
      <c r="H36" s="241">
        <f>IFERROR(Tabela41112[[#This Row],[VALORES]]/Tabela41112[[#This Row],[MÉDIA DOS DEMAIS]],"")</f>
        <v>0.89887401403094458</v>
      </c>
      <c r="I36" s="242" t="str">
        <f>IF(AND(Tabela41112[[#This Row],[VALORES]]=0,D35=0,D36=0),"",IF(AND(Tabela41112[[#This Row],[VALORES]]=0,D36=0,D37=0),"",IF(AND(Tabela41112[[#This Row],[VALORES]]=0,D37=0,D38=0),"",IF(Tabela41112[[#This Row],[PERCENTUAL EM RELAÇÃO A MÉDIA DOS DEMAIS PREÇOS ]]&lt;LIM_INF,"INEXEQUEVEL","VÁLIDO"))))</f>
        <v>VÁLIDO</v>
      </c>
      <c r="J36" s="243" t="str">
        <f>CONCATENATE("&lt;&gt;",Tabela41112[[#This Row],[EMPRESA]])</f>
        <v xml:space="preserve">&lt;&gt;FORTLUX </v>
      </c>
      <c r="K36" s="214"/>
      <c r="L36" s="244">
        <f>B36+180</f>
        <v>46074</v>
      </c>
      <c r="M36" s="212" t="e">
        <f>IF(L36=#REF!,"",IF((L36-#REF!)&lt;0,ROUNDDOWN(L36-#REF!,0)&amp;" dias","+"&amp;ROUNDDOWN(L36-#REF!,0)&amp;" dias"))</f>
        <v>#REF!</v>
      </c>
    </row>
    <row r="37" spans="1:13" x14ac:dyDescent="0.15">
      <c r="A37" s="215"/>
      <c r="B37" s="237">
        <v>45894</v>
      </c>
      <c r="C37" s="232" t="s">
        <v>255</v>
      </c>
      <c r="D37" s="238">
        <v>929.5</v>
      </c>
      <c r="E37" s="223">
        <f>IFERROR(AVERAGEIF(Tabela41112[[#All],[EMPRESA]],Tabela41112[[#This Row],[ITEM2]],Tabela41112[[#All],[VALORES]]),"")</f>
        <v>897.81500000000005</v>
      </c>
      <c r="F37" s="245">
        <f>IFERROR(Tabela41112[[#This Row],[VALORES]]/Tabela41112[[#This Row],[MÉDIA DOS DEMAIS]]-1,"")</f>
        <v>3.529123483122909E-2</v>
      </c>
      <c r="G37" s="246" t="str">
        <f>IF(AND(Tabela41112[[#This Row],[VALORES]]=0,D36=0,D37=0),"",IF(AND(Tabela41112[[#This Row],[VALORES]]=0,D37=0,D38=0),"",IF(AND(Tabela41112[[#This Row],[VALORES]]=0,D38=0,D39=0),"",IF(Tabela41112[[#This Row],[PERCENTUAL EM RELAÇÃO A MÉDIA DOS DEMAIS PREÇOS]]&gt;LIM_SUP,"EXCESSIVAMENTE ELEVADO","VÁLIDO"))))</f>
        <v>VÁLIDO</v>
      </c>
      <c r="H37" s="241">
        <f>IFERROR(Tabela41112[[#This Row],[VALORES]]/Tabela41112[[#This Row],[MÉDIA DOS DEMAIS]],"")</f>
        <v>1.0352912348312291</v>
      </c>
      <c r="I37" s="247" t="str">
        <f>IF(AND(Tabela41112[[#This Row],[VALORES]]=0,D36=0,D37=0),"",IF(AND(Tabela41112[[#This Row],[VALORES]]=0,D37=0,D38=0),"",IF(AND(Tabela41112[[#This Row],[VALORES]]=0,D38=0,D39=0),"",IF(Tabela41112[[#This Row],[PERCENTUAL EM RELAÇÃO A MÉDIA DOS DEMAIS PREÇOS ]]&lt;LIM_INF,"INEXEQUEVEL","VÁLIDO"))))</f>
        <v>VÁLIDO</v>
      </c>
      <c r="J37" s="243" t="str">
        <f>CONCATENATE("&lt;&gt;",Tabela41112[[#This Row],[EMPRESA]])</f>
        <v>&lt;&gt;DN DECOR LTDA</v>
      </c>
      <c r="K37" s="214"/>
      <c r="L37" s="244">
        <f t="shared" ref="L37:L38" si="3">B37+180</f>
        <v>46074</v>
      </c>
      <c r="M37" s="212" t="e">
        <f>IF(L37=#REF!,"",IF((L37-#REF!)&lt;0,ROUNDDOWN(L37-#REF!,0)&amp;" dias","+"&amp;ROUNDDOWN(L37-#REF!,0)&amp;" dias"))</f>
        <v>#REF!</v>
      </c>
    </row>
    <row r="38" spans="1:13" ht="10.5" thickBot="1" x14ac:dyDescent="0.2">
      <c r="A38" s="215"/>
      <c r="B38" s="237">
        <v>45895</v>
      </c>
      <c r="C38" s="232" t="s">
        <v>256</v>
      </c>
      <c r="D38" s="238">
        <v>950.63</v>
      </c>
      <c r="E38" s="223">
        <f>IFERROR(AVERAGEIF(Tabela41112[[#All],[EMPRESA]],Tabela41112[[#This Row],[ITEM2]],Tabela41112[[#All],[VALORES]]),"")</f>
        <v>887.25</v>
      </c>
      <c r="F38" s="239">
        <f>IFERROR(Tabela41112[[#This Row],[VALORES]]/Tabela41112[[#This Row],[MÉDIA DOS DEMAIS]]-1,"")</f>
        <v>7.1434206818822288E-2</v>
      </c>
      <c r="G38" s="240" t="str">
        <f>IF(AND(Tabela41112[[#This Row],[VALORES]]=0,D37=0,D38=0),"",IF(AND(Tabela41112[[#This Row],[VALORES]]=0,D38=0,D39=0),"",IF(AND(Tabela41112[[#This Row],[VALORES]]=0,D39=0,D40=0),"",IF(Tabela41112[[#This Row],[PERCENTUAL EM RELAÇÃO A MÉDIA DOS DEMAIS PREÇOS]]&gt;LIM_SUP,"EXCESSIVAMENTE ELEVADO","VÁLIDO"))))</f>
        <v>VÁLIDO</v>
      </c>
      <c r="H38" s="241">
        <f>IFERROR(Tabela41112[[#This Row],[VALORES]]/Tabela41112[[#This Row],[MÉDIA DOS DEMAIS]],"")</f>
        <v>1.0714342068188223</v>
      </c>
      <c r="I38" s="242" t="str">
        <f>IF(AND(Tabela41112[[#This Row],[VALORES]]=0,D37=0,D38=0),"",IF(AND(Tabela41112[[#This Row],[VALORES]]=0,D38=0,D39=0),"",IF(AND(Tabela41112[[#This Row],[VALORES]]=0,D39=0,D40=0),"",IF(Tabela41112[[#This Row],[PERCENTUAL EM RELAÇÃO A MÉDIA DOS DEMAIS PREÇOS ]]&lt;LIM_INF,"INEXEQUEVEL","VÁLIDO"))))</f>
        <v>VÁLIDO</v>
      </c>
      <c r="J38" s="243" t="str">
        <f>CONCATENATE("&lt;&gt;",Tabela41112[[#This Row],[EMPRESA]])</f>
        <v>&lt;&gt;AUTOENG</v>
      </c>
      <c r="K38" s="214"/>
      <c r="L38" s="244">
        <f t="shared" si="3"/>
        <v>46075</v>
      </c>
      <c r="M38" s="212" t="e">
        <f>IF(L38=#REF!,"",IF((L38-#REF!)&lt;0,ROUNDDOWN(L38-#REF!,0)&amp;" dias","+"&amp;ROUNDDOWN(L38-#REF!,0)&amp;" dias"))</f>
        <v>#REF!</v>
      </c>
    </row>
    <row r="39" spans="1:13" ht="10.5" customHeight="1" thickTop="1" x14ac:dyDescent="0.15">
      <c r="A39" s="215"/>
      <c r="B39" s="248"/>
      <c r="C39" s="249"/>
      <c r="D39" s="250" t="s">
        <v>284</v>
      </c>
      <c r="E39" s="251">
        <f>IFERROR(_xlfn.STDEV.S(Tabela41112[VALORES]),"")</f>
        <v>55.893386311202626</v>
      </c>
      <c r="F39" s="510" t="s">
        <v>257</v>
      </c>
      <c r="G39" s="511"/>
      <c r="H39" s="511"/>
      <c r="I39" s="512"/>
      <c r="J39" s="214"/>
    </row>
    <row r="40" spans="1:13" ht="10.5" customHeight="1" x14ac:dyDescent="0.15">
      <c r="A40" s="215"/>
      <c r="B40" s="252"/>
      <c r="C40" s="253"/>
      <c r="D40" s="254" t="s">
        <v>285</v>
      </c>
      <c r="E40" s="272">
        <f>IFERROR(TRUNC(E39/E41,4),"")</f>
        <v>6.1499999999999999E-2</v>
      </c>
      <c r="F40" s="513"/>
      <c r="G40" s="514"/>
      <c r="H40" s="514"/>
      <c r="I40" s="515"/>
      <c r="J40" s="214"/>
    </row>
    <row r="41" spans="1:13" ht="9.75" customHeight="1" x14ac:dyDescent="0.15">
      <c r="A41" s="215"/>
      <c r="B41" s="256"/>
      <c r="C41" s="257"/>
      <c r="D41" s="254" t="s">
        <v>258</v>
      </c>
      <c r="E41" s="258">
        <f>IFERROR(AVERAGE(Tabela41112[VALORES]),"")</f>
        <v>908.37666666666667</v>
      </c>
      <c r="F41" s="504" t="s">
        <v>259</v>
      </c>
      <c r="G41" s="505"/>
      <c r="H41" s="505"/>
      <c r="I41" s="506"/>
      <c r="J41" s="214"/>
    </row>
    <row r="42" spans="1:13" ht="10.5" customHeight="1" thickBot="1" x14ac:dyDescent="0.2">
      <c r="A42" s="215"/>
      <c r="B42" s="259"/>
      <c r="C42" s="260" t="s">
        <v>260</v>
      </c>
      <c r="D42" s="260" t="str">
        <f>CONCATENATE(IF(E40&gt;=25%,"MEDIANA","MÉDIA"))</f>
        <v>MÉDIA</v>
      </c>
      <c r="E42" s="261">
        <f>IFERROR(TRUNC(IF(D42="MEDIANA",MEDIAN(Tabela41112[VALORES]),IF(D42="MÉDIA",AVERAGE(Tabela41112[VALORES]),0)),2),"")</f>
        <v>908.37</v>
      </c>
      <c r="F42" s="507"/>
      <c r="G42" s="508"/>
      <c r="H42" s="508"/>
      <c r="I42" s="509"/>
      <c r="J42" s="214"/>
    </row>
    <row r="43" spans="1:13" ht="10.5" thickTop="1" x14ac:dyDescent="0.15">
      <c r="A43" s="215"/>
      <c r="D43" s="266"/>
      <c r="E43" s="267"/>
    </row>
    <row r="44" spans="1:13" ht="10.5" customHeight="1" thickBot="1" x14ac:dyDescent="0.2">
      <c r="A44" s="215"/>
      <c r="B44" s="271" t="s">
        <v>264</v>
      </c>
      <c r="C44" s="270"/>
      <c r="D44" s="270"/>
      <c r="E44" s="270"/>
      <c r="F44" s="270"/>
      <c r="G44" s="265"/>
      <c r="H44" s="265"/>
      <c r="I44" s="265"/>
      <c r="J44" s="214"/>
    </row>
    <row r="45" spans="1:13" ht="10.5" thickTop="1" x14ac:dyDescent="0.15">
      <c r="A45" s="215"/>
      <c r="B45" s="224"/>
      <c r="C45" s="225" t="s">
        <v>181</v>
      </c>
      <c r="D45" s="225"/>
      <c r="E45" s="226"/>
      <c r="F45" s="227" t="s">
        <v>244</v>
      </c>
      <c r="G45" s="228"/>
      <c r="H45" s="229" t="s">
        <v>245</v>
      </c>
      <c r="I45" s="230"/>
      <c r="J45" s="214"/>
    </row>
    <row r="46" spans="1:13" ht="39" x14ac:dyDescent="0.15">
      <c r="A46" s="215"/>
      <c r="B46" s="231" t="s">
        <v>246</v>
      </c>
      <c r="C46" s="232" t="s">
        <v>247</v>
      </c>
      <c r="D46" s="232" t="s">
        <v>248</v>
      </c>
      <c r="E46" s="233" t="s">
        <v>249</v>
      </c>
      <c r="F46" s="234" t="s">
        <v>250</v>
      </c>
      <c r="G46" s="235" t="s">
        <v>251</v>
      </c>
      <c r="H46" s="234" t="s">
        <v>252</v>
      </c>
      <c r="I46" s="236" t="s">
        <v>253</v>
      </c>
      <c r="J46" s="232" t="s">
        <v>261</v>
      </c>
      <c r="K46" s="214"/>
    </row>
    <row r="47" spans="1:13" x14ac:dyDescent="0.15">
      <c r="A47" s="215"/>
      <c r="B47" s="237">
        <v>45894</v>
      </c>
      <c r="C47" s="232" t="s">
        <v>254</v>
      </c>
      <c r="D47" s="238">
        <v>845</v>
      </c>
      <c r="E47" s="223">
        <f>IFERROR(AVERAGEIF(Tabela41113[[#All],[EMPRESA]],Tabela41113[[#This Row],[ITEM2]],Tabela41113[[#All],[VALORES]]),"")</f>
        <v>940.06500000000005</v>
      </c>
      <c r="F47" s="239">
        <f>IFERROR(Tabela41113[[#This Row],[VALORES]]/Tabela41113[[#This Row],[MÉDIA DOS DEMAIS]]-1,"")</f>
        <v>-0.10112598596905542</v>
      </c>
      <c r="G47" s="240" t="str">
        <f>IF(AND(Tabela41113[[#This Row],[VALORES]]=0,D46=0,D47=0),"",IF(AND(Tabela41113[[#This Row],[VALORES]]=0,D47=0,D48=0),"",IF(AND(Tabela41113[[#This Row],[VALORES]]=0,D48=0,D49=0),"",IF(Tabela41113[[#This Row],[PERCENTUAL EM RELAÇÃO A MÉDIA DOS DEMAIS PREÇOS]]&gt;LIM_SUP,"EXCESSIVAMENTE ELEVADO","VÁLIDO"))))</f>
        <v>VÁLIDO</v>
      </c>
      <c r="H47" s="241">
        <f>IFERROR(Tabela41113[[#This Row],[VALORES]]/Tabela41113[[#This Row],[MÉDIA DOS DEMAIS]],"")</f>
        <v>0.89887401403094458</v>
      </c>
      <c r="I47" s="242" t="str">
        <f>IF(AND(Tabela41113[[#This Row],[VALORES]]=0,D46=0,D47=0),"",IF(AND(Tabela41113[[#This Row],[VALORES]]=0,D47=0,D48=0),"",IF(AND(Tabela41113[[#This Row],[VALORES]]=0,D48=0,D49=0),"",IF(Tabela41113[[#This Row],[PERCENTUAL EM RELAÇÃO A MÉDIA DOS DEMAIS PREÇOS ]]&lt;LIM_INF,"INEXEQUEVEL","VÁLIDO"))))</f>
        <v>VÁLIDO</v>
      </c>
      <c r="J47" s="243" t="str">
        <f>CONCATENATE("&lt;&gt;",Tabela41113[[#This Row],[EMPRESA]])</f>
        <v xml:space="preserve">&lt;&gt;FORTLUX </v>
      </c>
      <c r="K47" s="214"/>
      <c r="L47" s="244">
        <f>B47+180</f>
        <v>46074</v>
      </c>
      <c r="M47" s="212" t="e">
        <f>IF(L47=#REF!,"",IF((L47-#REF!)&lt;0,ROUNDDOWN(L47-#REF!,0)&amp;" dias","+"&amp;ROUNDDOWN(L47-#REF!,0)&amp;" dias"))</f>
        <v>#REF!</v>
      </c>
    </row>
    <row r="48" spans="1:13" x14ac:dyDescent="0.15">
      <c r="A48" s="215"/>
      <c r="B48" s="237">
        <v>45894</v>
      </c>
      <c r="C48" s="232" t="s">
        <v>255</v>
      </c>
      <c r="D48" s="238">
        <v>929.5</v>
      </c>
      <c r="E48" s="223">
        <f>IFERROR(AVERAGEIF(Tabela41113[[#All],[EMPRESA]],Tabela41113[[#This Row],[ITEM2]],Tabela41113[[#All],[VALORES]]),"")</f>
        <v>897.81500000000005</v>
      </c>
      <c r="F48" s="245">
        <f>IFERROR(Tabela41113[[#This Row],[VALORES]]/Tabela41113[[#This Row],[MÉDIA DOS DEMAIS]]-1,"")</f>
        <v>3.529123483122909E-2</v>
      </c>
      <c r="G48" s="246" t="str">
        <f>IF(AND(Tabela41113[[#This Row],[VALORES]]=0,D47=0,D48=0),"",IF(AND(Tabela41113[[#This Row],[VALORES]]=0,D48=0,D49=0),"",IF(AND(Tabela41113[[#This Row],[VALORES]]=0,D49=0,D50=0),"",IF(Tabela41113[[#This Row],[PERCENTUAL EM RELAÇÃO A MÉDIA DOS DEMAIS PREÇOS]]&gt;LIM_SUP,"EXCESSIVAMENTE ELEVADO","VÁLIDO"))))</f>
        <v>VÁLIDO</v>
      </c>
      <c r="H48" s="241">
        <f>IFERROR(Tabela41113[[#This Row],[VALORES]]/Tabela41113[[#This Row],[MÉDIA DOS DEMAIS]],"")</f>
        <v>1.0352912348312291</v>
      </c>
      <c r="I48" s="247" t="str">
        <f>IF(AND(Tabela41113[[#This Row],[VALORES]]=0,D47=0,D48=0),"",IF(AND(Tabela41113[[#This Row],[VALORES]]=0,D48=0,D49=0),"",IF(AND(Tabela41113[[#This Row],[VALORES]]=0,D49=0,D50=0),"",IF(Tabela41113[[#This Row],[PERCENTUAL EM RELAÇÃO A MÉDIA DOS DEMAIS PREÇOS ]]&lt;LIM_INF,"INEXEQUEVEL","VÁLIDO"))))</f>
        <v>VÁLIDO</v>
      </c>
      <c r="J48" s="243" t="str">
        <f>CONCATENATE("&lt;&gt;",Tabela41113[[#This Row],[EMPRESA]])</f>
        <v>&lt;&gt;DN DECOR LTDA</v>
      </c>
      <c r="K48" s="214"/>
      <c r="L48" s="244">
        <f t="shared" ref="L48:L49" si="4">B48+180</f>
        <v>46074</v>
      </c>
      <c r="M48" s="212" t="e">
        <f>IF(L48=#REF!,"",IF((L48-#REF!)&lt;0,ROUNDDOWN(L48-#REF!,0)&amp;" dias","+"&amp;ROUNDDOWN(L48-#REF!,0)&amp;" dias"))</f>
        <v>#REF!</v>
      </c>
    </row>
    <row r="49" spans="1:13" ht="10.5" thickBot="1" x14ac:dyDescent="0.2">
      <c r="A49" s="215"/>
      <c r="B49" s="237">
        <v>45895</v>
      </c>
      <c r="C49" s="232" t="s">
        <v>256</v>
      </c>
      <c r="D49" s="238">
        <v>950.63</v>
      </c>
      <c r="E49" s="223">
        <f>IFERROR(AVERAGEIF(Tabela41113[[#All],[EMPRESA]],Tabela41113[[#This Row],[ITEM2]],Tabela41113[[#All],[VALORES]]),"")</f>
        <v>887.25</v>
      </c>
      <c r="F49" s="239">
        <f>IFERROR(Tabela41113[[#This Row],[VALORES]]/Tabela41113[[#This Row],[MÉDIA DOS DEMAIS]]-1,"")</f>
        <v>7.1434206818822288E-2</v>
      </c>
      <c r="G49" s="240" t="str">
        <f>IF(AND(Tabela41113[[#This Row],[VALORES]]=0,D48=0,D49=0),"",IF(AND(Tabela41113[[#This Row],[VALORES]]=0,D49=0,D50=0),"",IF(AND(Tabela41113[[#This Row],[VALORES]]=0,D50=0,D51=0),"",IF(Tabela41113[[#This Row],[PERCENTUAL EM RELAÇÃO A MÉDIA DOS DEMAIS PREÇOS]]&gt;LIM_SUP,"EXCESSIVAMENTE ELEVADO","VÁLIDO"))))</f>
        <v>VÁLIDO</v>
      </c>
      <c r="H49" s="241">
        <f>IFERROR(Tabela41113[[#This Row],[VALORES]]/Tabela41113[[#This Row],[MÉDIA DOS DEMAIS]],"")</f>
        <v>1.0714342068188223</v>
      </c>
      <c r="I49" s="242" t="str">
        <f>IF(AND(Tabela41113[[#This Row],[VALORES]]=0,D48=0,D49=0),"",IF(AND(Tabela41113[[#This Row],[VALORES]]=0,D49=0,D50=0),"",IF(AND(Tabela41113[[#This Row],[VALORES]]=0,D50=0,D51=0),"",IF(Tabela41113[[#This Row],[PERCENTUAL EM RELAÇÃO A MÉDIA DOS DEMAIS PREÇOS ]]&lt;LIM_INF,"INEXEQUEVEL","VÁLIDO"))))</f>
        <v>VÁLIDO</v>
      </c>
      <c r="J49" s="243" t="str">
        <f>CONCATENATE("&lt;&gt;",Tabela41113[[#This Row],[EMPRESA]])</f>
        <v>&lt;&gt;AUTOENG</v>
      </c>
      <c r="K49" s="214"/>
      <c r="L49" s="244">
        <f t="shared" si="4"/>
        <v>46075</v>
      </c>
      <c r="M49" s="212" t="e">
        <f>IF(L49=#REF!,"",IF((L49-#REF!)&lt;0,ROUNDDOWN(L49-#REF!,0)&amp;" dias","+"&amp;ROUNDDOWN(L49-#REF!,0)&amp;" dias"))</f>
        <v>#REF!</v>
      </c>
    </row>
    <row r="50" spans="1:13" ht="10.5" customHeight="1" thickTop="1" x14ac:dyDescent="0.15">
      <c r="A50" s="215"/>
      <c r="B50" s="248"/>
      <c r="C50" s="249"/>
      <c r="D50" s="250" t="s">
        <v>284</v>
      </c>
      <c r="E50" s="251">
        <f>IFERROR(_xlfn.STDEV.S(Tabela41113[VALORES]),"")</f>
        <v>55.893386311202626</v>
      </c>
      <c r="F50" s="510" t="s">
        <v>257</v>
      </c>
      <c r="G50" s="511"/>
      <c r="H50" s="511"/>
      <c r="I50" s="512"/>
      <c r="J50" s="214"/>
    </row>
    <row r="51" spans="1:13" x14ac:dyDescent="0.15">
      <c r="A51" s="215"/>
      <c r="B51" s="252"/>
      <c r="C51" s="253"/>
      <c r="D51" s="254" t="s">
        <v>285</v>
      </c>
      <c r="E51" s="272">
        <f>IFERROR(TRUNC(E50/E52,4),"")</f>
        <v>6.1499999999999999E-2</v>
      </c>
      <c r="F51" s="513"/>
      <c r="G51" s="514"/>
      <c r="H51" s="514"/>
      <c r="I51" s="515"/>
      <c r="J51" s="214"/>
    </row>
    <row r="52" spans="1:13" ht="9.75" customHeight="1" x14ac:dyDescent="0.15">
      <c r="A52" s="215"/>
      <c r="B52" s="256"/>
      <c r="C52" s="257"/>
      <c r="D52" s="254" t="s">
        <v>258</v>
      </c>
      <c r="E52" s="258">
        <f>IFERROR(AVERAGE(Tabela41113[VALORES]),"")</f>
        <v>908.37666666666667</v>
      </c>
      <c r="F52" s="504" t="s">
        <v>259</v>
      </c>
      <c r="G52" s="505"/>
      <c r="H52" s="505"/>
      <c r="I52" s="506"/>
      <c r="J52" s="214"/>
    </row>
    <row r="53" spans="1:13" ht="15.75" customHeight="1" thickBot="1" x14ac:dyDescent="0.2">
      <c r="A53" s="215"/>
      <c r="B53" s="259"/>
      <c r="C53" s="260" t="s">
        <v>260</v>
      </c>
      <c r="D53" s="260" t="str">
        <f>CONCATENATE(IF(E51&gt;=25%,"MEDIANA","MÉDIA"))</f>
        <v>MÉDIA</v>
      </c>
      <c r="E53" s="261">
        <f>IFERROR(TRUNC(IF(D53="MEDIANA",MEDIAN(Tabela41113[VALORES]),IF(D53="MÉDIA",AVERAGE(Tabela41113[VALORES]),0)),2),"")</f>
        <v>908.37</v>
      </c>
      <c r="F53" s="507"/>
      <c r="G53" s="508"/>
      <c r="H53" s="508"/>
      <c r="I53" s="509"/>
      <c r="J53" s="214"/>
    </row>
    <row r="54" spans="1:13" ht="10.5" thickTop="1" x14ac:dyDescent="0.15">
      <c r="A54" s="215"/>
      <c r="D54" s="266"/>
      <c r="E54" s="267"/>
    </row>
    <row r="55" spans="1:13" ht="10.5" thickBot="1" x14ac:dyDescent="0.2">
      <c r="A55" s="215"/>
      <c r="B55" s="264" t="s">
        <v>265</v>
      </c>
      <c r="C55" s="265"/>
      <c r="D55" s="265"/>
      <c r="E55" s="265"/>
      <c r="F55" s="265"/>
      <c r="G55" s="265"/>
      <c r="H55" s="265"/>
      <c r="I55" s="265"/>
      <c r="J55" s="214"/>
    </row>
    <row r="56" spans="1:13" ht="10.5" thickTop="1" x14ac:dyDescent="0.15">
      <c r="A56" s="215"/>
      <c r="B56" s="224"/>
      <c r="C56" s="225" t="s">
        <v>181</v>
      </c>
      <c r="D56" s="225"/>
      <c r="E56" s="226"/>
      <c r="F56" s="227" t="s">
        <v>244</v>
      </c>
      <c r="G56" s="228"/>
      <c r="H56" s="229" t="s">
        <v>245</v>
      </c>
      <c r="I56" s="230"/>
      <c r="J56" s="214"/>
    </row>
    <row r="57" spans="1:13" ht="39" x14ac:dyDescent="0.15">
      <c r="A57" s="215"/>
      <c r="B57" s="231" t="s">
        <v>246</v>
      </c>
      <c r="C57" s="232" t="s">
        <v>247</v>
      </c>
      <c r="D57" s="232" t="s">
        <v>248</v>
      </c>
      <c r="E57" s="233" t="s">
        <v>249</v>
      </c>
      <c r="F57" s="234" t="s">
        <v>250</v>
      </c>
      <c r="G57" s="235" t="s">
        <v>251</v>
      </c>
      <c r="H57" s="234" t="s">
        <v>252</v>
      </c>
      <c r="I57" s="236" t="s">
        <v>253</v>
      </c>
      <c r="J57" s="232" t="s">
        <v>261</v>
      </c>
      <c r="K57" s="214"/>
    </row>
    <row r="58" spans="1:13" x14ac:dyDescent="0.15">
      <c r="A58" s="215"/>
      <c r="B58" s="237">
        <v>45894</v>
      </c>
      <c r="C58" s="232" t="s">
        <v>254</v>
      </c>
      <c r="D58" s="238">
        <v>845</v>
      </c>
      <c r="E58" s="223">
        <f>IFERROR(AVERAGEIF(Tabela41114[[#All],[EMPRESA]],Tabela41114[[#This Row],[ITEM2]],Tabela41114[[#All],[VALORES]]),"")</f>
        <v>940.06500000000005</v>
      </c>
      <c r="F58" s="239">
        <f>IFERROR(Tabela41114[[#This Row],[VALORES]]/Tabela41114[[#This Row],[MÉDIA DOS DEMAIS]]-1,"")</f>
        <v>-0.10112598596905542</v>
      </c>
      <c r="G58" s="240" t="str">
        <f>IF(AND(Tabela41114[[#This Row],[VALORES]]=0,D57=0,D58=0),"",IF(AND(Tabela41114[[#This Row],[VALORES]]=0,D58=0,D59=0),"",IF(AND(Tabela41114[[#This Row],[VALORES]]=0,D59=0,D60=0),"",IF(Tabela41114[[#This Row],[PERCENTUAL EM RELAÇÃO A MÉDIA DOS DEMAIS PREÇOS]]&gt;LIM_SUP,"EXCESSIVAMENTE ELEVADO","VÁLIDO"))))</f>
        <v>VÁLIDO</v>
      </c>
      <c r="H58" s="241">
        <f>IFERROR(Tabela41114[[#This Row],[VALORES]]/Tabela41114[[#This Row],[MÉDIA DOS DEMAIS]],"")</f>
        <v>0.89887401403094458</v>
      </c>
      <c r="I58" s="242" t="str">
        <f>IF(AND(Tabela41114[[#This Row],[VALORES]]=0,D57=0,D58=0),"",IF(AND(Tabela41114[[#This Row],[VALORES]]=0,D58=0,D59=0),"",IF(AND(Tabela41114[[#This Row],[VALORES]]=0,D59=0,D60=0),"",IF(Tabela41114[[#This Row],[PERCENTUAL EM RELAÇÃO A MÉDIA DOS DEMAIS PREÇOS ]]&lt;LIM_INF,"INEXEQUEVEL","VÁLIDO"))))</f>
        <v>VÁLIDO</v>
      </c>
      <c r="J58" s="243" t="str">
        <f>CONCATENATE("&lt;&gt;",Tabela41114[[#This Row],[EMPRESA]])</f>
        <v xml:space="preserve">&lt;&gt;FORTLUX </v>
      </c>
      <c r="K58" s="214"/>
      <c r="L58" s="244">
        <f>B58+180</f>
        <v>46074</v>
      </c>
      <c r="M58" s="212" t="e">
        <f>IF(L58=#REF!,"",IF((L58-#REF!)&lt;0,ROUNDDOWN(L58-#REF!,0)&amp;" dias","+"&amp;ROUNDDOWN(L58-#REF!,0)&amp;" dias"))</f>
        <v>#REF!</v>
      </c>
    </row>
    <row r="59" spans="1:13" x14ac:dyDescent="0.15">
      <c r="A59" s="215"/>
      <c r="B59" s="237">
        <v>45894</v>
      </c>
      <c r="C59" s="232" t="s">
        <v>255</v>
      </c>
      <c r="D59" s="238">
        <v>929.5</v>
      </c>
      <c r="E59" s="223">
        <f>IFERROR(AVERAGEIF(Tabela41114[[#All],[EMPRESA]],Tabela41114[[#This Row],[ITEM2]],Tabela41114[[#All],[VALORES]]),"")</f>
        <v>897.81500000000005</v>
      </c>
      <c r="F59" s="245">
        <f>IFERROR(Tabela41114[[#This Row],[VALORES]]/Tabela41114[[#This Row],[MÉDIA DOS DEMAIS]]-1,"")</f>
        <v>3.529123483122909E-2</v>
      </c>
      <c r="G59" s="246" t="str">
        <f>IF(AND(Tabela41114[[#This Row],[VALORES]]=0,D58=0,D59=0),"",IF(AND(Tabela41114[[#This Row],[VALORES]]=0,D59=0,D60=0),"",IF(AND(Tabela41114[[#This Row],[VALORES]]=0,D60=0,D61=0),"",IF(Tabela41114[[#This Row],[PERCENTUAL EM RELAÇÃO A MÉDIA DOS DEMAIS PREÇOS]]&gt;LIM_SUP,"EXCESSIVAMENTE ELEVADO","VÁLIDO"))))</f>
        <v>VÁLIDO</v>
      </c>
      <c r="H59" s="241">
        <f>IFERROR(Tabela41114[[#This Row],[VALORES]]/Tabela41114[[#This Row],[MÉDIA DOS DEMAIS]],"")</f>
        <v>1.0352912348312291</v>
      </c>
      <c r="I59" s="247" t="str">
        <f>IF(AND(Tabela41114[[#This Row],[VALORES]]=0,D58=0,D59=0),"",IF(AND(Tabela41114[[#This Row],[VALORES]]=0,D59=0,D60=0),"",IF(AND(Tabela41114[[#This Row],[VALORES]]=0,D60=0,D61=0),"",IF(Tabela41114[[#This Row],[PERCENTUAL EM RELAÇÃO A MÉDIA DOS DEMAIS PREÇOS ]]&lt;LIM_INF,"INEXEQUEVEL","VÁLIDO"))))</f>
        <v>VÁLIDO</v>
      </c>
      <c r="J59" s="243" t="str">
        <f>CONCATENATE("&lt;&gt;",Tabela41114[[#This Row],[EMPRESA]])</f>
        <v>&lt;&gt;DN DECOR LTDA</v>
      </c>
      <c r="K59" s="214"/>
      <c r="L59" s="244">
        <f t="shared" ref="L59:L60" si="5">B59+180</f>
        <v>46074</v>
      </c>
      <c r="M59" s="212" t="e">
        <f>IF(L59=#REF!,"",IF((L59-#REF!)&lt;0,ROUNDDOWN(L59-#REF!,0)&amp;" dias","+"&amp;ROUNDDOWN(L59-#REF!,0)&amp;" dias"))</f>
        <v>#REF!</v>
      </c>
    </row>
    <row r="60" spans="1:13" ht="10.5" thickBot="1" x14ac:dyDescent="0.2">
      <c r="A60" s="215"/>
      <c r="B60" s="237">
        <v>45895</v>
      </c>
      <c r="C60" s="232" t="s">
        <v>256</v>
      </c>
      <c r="D60" s="238">
        <v>950.63</v>
      </c>
      <c r="E60" s="223">
        <f>IFERROR(AVERAGEIF(Tabela41114[[#All],[EMPRESA]],Tabela41114[[#This Row],[ITEM2]],Tabela41114[[#All],[VALORES]]),"")</f>
        <v>887.25</v>
      </c>
      <c r="F60" s="239">
        <f>IFERROR(Tabela41114[[#This Row],[VALORES]]/Tabela41114[[#This Row],[MÉDIA DOS DEMAIS]]-1,"")</f>
        <v>7.1434206818822288E-2</v>
      </c>
      <c r="G60" s="240" t="str">
        <f>IF(AND(Tabela41114[[#This Row],[VALORES]]=0,D59=0,D60=0),"",IF(AND(Tabela41114[[#This Row],[VALORES]]=0,D60=0,D61=0),"",IF(AND(Tabela41114[[#This Row],[VALORES]]=0,D61=0,D62=0),"",IF(Tabela41114[[#This Row],[PERCENTUAL EM RELAÇÃO A MÉDIA DOS DEMAIS PREÇOS]]&gt;LIM_SUP,"EXCESSIVAMENTE ELEVADO","VÁLIDO"))))</f>
        <v>VÁLIDO</v>
      </c>
      <c r="H60" s="241">
        <f>IFERROR(Tabela41114[[#This Row],[VALORES]]/Tabela41114[[#This Row],[MÉDIA DOS DEMAIS]],"")</f>
        <v>1.0714342068188223</v>
      </c>
      <c r="I60" s="242" t="str">
        <f>IF(AND(Tabela41114[[#This Row],[VALORES]]=0,D59=0,D60=0),"",IF(AND(Tabela41114[[#This Row],[VALORES]]=0,D60=0,D61=0),"",IF(AND(Tabela41114[[#This Row],[VALORES]]=0,D61=0,D62=0),"",IF(Tabela41114[[#This Row],[PERCENTUAL EM RELAÇÃO A MÉDIA DOS DEMAIS PREÇOS ]]&lt;LIM_INF,"INEXEQUEVEL","VÁLIDO"))))</f>
        <v>VÁLIDO</v>
      </c>
      <c r="J60" s="243" t="str">
        <f>CONCATENATE("&lt;&gt;",Tabela41114[[#This Row],[EMPRESA]])</f>
        <v>&lt;&gt;AUTOENG</v>
      </c>
      <c r="K60" s="214"/>
      <c r="L60" s="244">
        <f t="shared" si="5"/>
        <v>46075</v>
      </c>
      <c r="M60" s="212" t="e">
        <f>IF(L60=#REF!,"",IF((L60-#REF!)&lt;0,ROUNDDOWN(L60-#REF!,0)&amp;" dias","+"&amp;ROUNDDOWN(L60-#REF!,0)&amp;" dias"))</f>
        <v>#REF!</v>
      </c>
    </row>
    <row r="61" spans="1:13" ht="10.5" customHeight="1" thickTop="1" x14ac:dyDescent="0.15">
      <c r="A61" s="215"/>
      <c r="B61" s="248"/>
      <c r="C61" s="249"/>
      <c r="D61" s="250" t="s">
        <v>284</v>
      </c>
      <c r="E61" s="251">
        <f>IFERROR(_xlfn.STDEV.S(Tabela41114[VALORES]),"")</f>
        <v>55.893386311202626</v>
      </c>
      <c r="F61" s="510" t="s">
        <v>257</v>
      </c>
      <c r="G61" s="511"/>
      <c r="H61" s="511"/>
      <c r="I61" s="512"/>
      <c r="J61" s="214"/>
    </row>
    <row r="62" spans="1:13" x14ac:dyDescent="0.15">
      <c r="A62" s="215"/>
      <c r="B62" s="252"/>
      <c r="C62" s="253"/>
      <c r="D62" s="254" t="s">
        <v>285</v>
      </c>
      <c r="E62" s="272">
        <f>IFERROR(TRUNC(E61/E63,4),"")</f>
        <v>6.1499999999999999E-2</v>
      </c>
      <c r="F62" s="513"/>
      <c r="G62" s="514"/>
      <c r="H62" s="514"/>
      <c r="I62" s="515"/>
      <c r="J62" s="214"/>
    </row>
    <row r="63" spans="1:13" ht="9.75" customHeight="1" x14ac:dyDescent="0.15">
      <c r="A63" s="215"/>
      <c r="B63" s="256"/>
      <c r="C63" s="257"/>
      <c r="D63" s="254" t="s">
        <v>258</v>
      </c>
      <c r="E63" s="258">
        <f>IFERROR(AVERAGE(Tabela41114[VALORES]),"")</f>
        <v>908.37666666666667</v>
      </c>
      <c r="F63" s="504" t="s">
        <v>259</v>
      </c>
      <c r="G63" s="505"/>
      <c r="H63" s="505"/>
      <c r="I63" s="506"/>
      <c r="J63" s="214"/>
    </row>
    <row r="64" spans="1:13" ht="15.75" customHeight="1" thickBot="1" x14ac:dyDescent="0.2">
      <c r="A64" s="215"/>
      <c r="B64" s="259"/>
      <c r="C64" s="260" t="s">
        <v>260</v>
      </c>
      <c r="D64" s="260" t="str">
        <f>CONCATENATE(IF(E62&gt;=25%,"MEDIANA","MÉDIA"))</f>
        <v>MÉDIA</v>
      </c>
      <c r="E64" s="261">
        <f>IFERROR(TRUNC(IF(D64="MEDIANA",MEDIAN(Tabela41114[VALORES]),IF(D64="MÉDIA",AVERAGE(Tabela41114[VALORES]),0)),2),"")</f>
        <v>908.37</v>
      </c>
      <c r="F64" s="507"/>
      <c r="G64" s="508"/>
      <c r="H64" s="508"/>
      <c r="I64" s="509"/>
      <c r="J64" s="214"/>
    </row>
    <row r="65" spans="1:13" ht="10.5" thickTop="1" x14ac:dyDescent="0.15">
      <c r="A65" s="215"/>
      <c r="D65" s="266"/>
      <c r="E65" s="267"/>
    </row>
    <row r="66" spans="1:13" ht="10.5" thickBot="1" x14ac:dyDescent="0.2">
      <c r="A66" s="215"/>
      <c r="B66" s="264" t="s">
        <v>266</v>
      </c>
      <c r="C66" s="265"/>
      <c r="D66" s="265"/>
      <c r="E66" s="265"/>
      <c r="F66" s="265"/>
      <c r="G66" s="265"/>
      <c r="H66" s="265"/>
      <c r="I66" s="265"/>
      <c r="J66" s="214"/>
    </row>
    <row r="67" spans="1:13" ht="10.5" thickTop="1" x14ac:dyDescent="0.15">
      <c r="A67" s="215"/>
      <c r="B67" s="224"/>
      <c r="C67" s="225" t="s">
        <v>181</v>
      </c>
      <c r="D67" s="225"/>
      <c r="E67" s="226"/>
      <c r="F67" s="227" t="s">
        <v>244</v>
      </c>
      <c r="G67" s="228"/>
      <c r="H67" s="229" t="s">
        <v>245</v>
      </c>
      <c r="I67" s="230"/>
      <c r="J67" s="214"/>
    </row>
    <row r="68" spans="1:13" ht="39" x14ac:dyDescent="0.15">
      <c r="A68" s="215"/>
      <c r="B68" s="231" t="s">
        <v>246</v>
      </c>
      <c r="C68" s="232" t="s">
        <v>247</v>
      </c>
      <c r="D68" s="232" t="s">
        <v>248</v>
      </c>
      <c r="E68" s="233" t="s">
        <v>249</v>
      </c>
      <c r="F68" s="234" t="s">
        <v>250</v>
      </c>
      <c r="G68" s="235" t="s">
        <v>251</v>
      </c>
      <c r="H68" s="234" t="s">
        <v>252</v>
      </c>
      <c r="I68" s="236" t="s">
        <v>253</v>
      </c>
      <c r="J68" s="232" t="s">
        <v>261</v>
      </c>
      <c r="K68" s="214"/>
    </row>
    <row r="69" spans="1:13" x14ac:dyDescent="0.15">
      <c r="A69" s="215"/>
      <c r="B69" s="237">
        <v>45894</v>
      </c>
      <c r="C69" s="232" t="s">
        <v>254</v>
      </c>
      <c r="D69" s="238">
        <v>845</v>
      </c>
      <c r="E69" s="223">
        <f>IFERROR(AVERAGEIF(Tabela41115[[#All],[EMPRESA]],Tabela41115[[#This Row],[ITEM2]],Tabela41115[[#All],[VALORES]]),"")</f>
        <v>940.06500000000005</v>
      </c>
      <c r="F69" s="239">
        <f>IFERROR(Tabela41115[[#This Row],[VALORES]]/Tabela41115[[#This Row],[MÉDIA DOS DEMAIS]]-1,"")</f>
        <v>-0.10112598596905542</v>
      </c>
      <c r="G69" s="240" t="str">
        <f>IF(AND(Tabela41115[[#This Row],[VALORES]]=0,D68=0,D69=0),"",IF(AND(Tabela41115[[#This Row],[VALORES]]=0,D69=0,D70=0),"",IF(AND(Tabela41115[[#This Row],[VALORES]]=0,D70=0,D71=0),"",IF(Tabela41115[[#This Row],[PERCENTUAL EM RELAÇÃO A MÉDIA DOS DEMAIS PREÇOS]]&gt;LIM_SUP,"EXCESSIVAMENTE ELEVADO","VÁLIDO"))))</f>
        <v>VÁLIDO</v>
      </c>
      <c r="H69" s="241">
        <f>IFERROR(Tabela41115[[#This Row],[VALORES]]/Tabela41115[[#This Row],[MÉDIA DOS DEMAIS]],"")</f>
        <v>0.89887401403094458</v>
      </c>
      <c r="I69" s="242" t="str">
        <f>IF(AND(Tabela41115[[#This Row],[VALORES]]=0,D68=0,D69=0),"",IF(AND(Tabela41115[[#This Row],[VALORES]]=0,D69=0,D70=0),"",IF(AND(Tabela41115[[#This Row],[VALORES]]=0,D70=0,D71=0),"",IF(Tabela41115[[#This Row],[PERCENTUAL EM RELAÇÃO A MÉDIA DOS DEMAIS PREÇOS ]]&lt;LIM_INF,"INEXEQUEVEL","VÁLIDO"))))</f>
        <v>VÁLIDO</v>
      </c>
      <c r="J69" s="243" t="str">
        <f>CONCATENATE("&lt;&gt;",Tabela41115[[#This Row],[EMPRESA]])</f>
        <v xml:space="preserve">&lt;&gt;FORTLUX </v>
      </c>
      <c r="K69" s="214"/>
      <c r="L69" s="244">
        <f>B69+180</f>
        <v>46074</v>
      </c>
      <c r="M69" s="212" t="e">
        <f>IF(L69=#REF!,"",IF((L69-#REF!)&lt;0,ROUNDDOWN(L69-#REF!,0)&amp;" dias","+"&amp;ROUNDDOWN(L69-#REF!,0)&amp;" dias"))</f>
        <v>#REF!</v>
      </c>
    </row>
    <row r="70" spans="1:13" x14ac:dyDescent="0.15">
      <c r="A70" s="215"/>
      <c r="B70" s="237">
        <v>45894</v>
      </c>
      <c r="C70" s="232" t="s">
        <v>255</v>
      </c>
      <c r="D70" s="238">
        <v>929.5</v>
      </c>
      <c r="E70" s="223">
        <f>IFERROR(AVERAGEIF(Tabela41115[[#All],[EMPRESA]],Tabela41115[[#This Row],[ITEM2]],Tabela41115[[#All],[VALORES]]),"")</f>
        <v>897.81500000000005</v>
      </c>
      <c r="F70" s="245">
        <f>IFERROR(Tabela41115[[#This Row],[VALORES]]/Tabela41115[[#This Row],[MÉDIA DOS DEMAIS]]-1,"")</f>
        <v>3.529123483122909E-2</v>
      </c>
      <c r="G70" s="246" t="str">
        <f>IF(AND(Tabela41115[[#This Row],[VALORES]]=0,D69=0,D70=0),"",IF(AND(Tabela41115[[#This Row],[VALORES]]=0,D70=0,D71=0),"",IF(AND(Tabela41115[[#This Row],[VALORES]]=0,D71=0,D72=0),"",IF(Tabela41115[[#This Row],[PERCENTUAL EM RELAÇÃO A MÉDIA DOS DEMAIS PREÇOS]]&gt;LIM_SUP,"EXCESSIVAMENTE ELEVADO","VÁLIDO"))))</f>
        <v>VÁLIDO</v>
      </c>
      <c r="H70" s="241">
        <f>IFERROR(Tabela41115[[#This Row],[VALORES]]/Tabela41115[[#This Row],[MÉDIA DOS DEMAIS]],"")</f>
        <v>1.0352912348312291</v>
      </c>
      <c r="I70" s="247" t="str">
        <f>IF(AND(Tabela41115[[#This Row],[VALORES]]=0,D69=0,D70=0),"",IF(AND(Tabela41115[[#This Row],[VALORES]]=0,D70=0,D71=0),"",IF(AND(Tabela41115[[#This Row],[VALORES]]=0,D71=0,D72=0),"",IF(Tabela41115[[#This Row],[PERCENTUAL EM RELAÇÃO A MÉDIA DOS DEMAIS PREÇOS ]]&lt;LIM_INF,"INEXEQUEVEL","VÁLIDO"))))</f>
        <v>VÁLIDO</v>
      </c>
      <c r="J70" s="243" t="str">
        <f>CONCATENATE("&lt;&gt;",Tabela41115[[#This Row],[EMPRESA]])</f>
        <v>&lt;&gt;DN DECOR LTDA</v>
      </c>
      <c r="K70" s="214"/>
      <c r="L70" s="244">
        <f t="shared" ref="L70:L71" si="6">B70+180</f>
        <v>46074</v>
      </c>
      <c r="M70" s="212" t="e">
        <f>IF(L70=#REF!,"",IF((L70-#REF!)&lt;0,ROUNDDOWN(L70-#REF!,0)&amp;" dias","+"&amp;ROUNDDOWN(L70-#REF!,0)&amp;" dias"))</f>
        <v>#REF!</v>
      </c>
    </row>
    <row r="71" spans="1:13" ht="10.5" thickBot="1" x14ac:dyDescent="0.2">
      <c r="A71" s="215"/>
      <c r="B71" s="237">
        <v>45895</v>
      </c>
      <c r="C71" s="232" t="s">
        <v>256</v>
      </c>
      <c r="D71" s="238">
        <v>950.63</v>
      </c>
      <c r="E71" s="223">
        <f>IFERROR(AVERAGEIF(Tabela41115[[#All],[EMPRESA]],Tabela41115[[#This Row],[ITEM2]],Tabela41115[[#All],[VALORES]]),"")</f>
        <v>887.25</v>
      </c>
      <c r="F71" s="239">
        <f>IFERROR(Tabela41115[[#This Row],[VALORES]]/Tabela41115[[#This Row],[MÉDIA DOS DEMAIS]]-1,"")</f>
        <v>7.1434206818822288E-2</v>
      </c>
      <c r="G71" s="240" t="str">
        <f>IF(AND(Tabela41115[[#This Row],[VALORES]]=0,D70=0,D71=0),"",IF(AND(Tabela41115[[#This Row],[VALORES]]=0,D71=0,D72=0),"",IF(AND(Tabela41115[[#This Row],[VALORES]]=0,D72=0,D73=0),"",IF(Tabela41115[[#This Row],[PERCENTUAL EM RELAÇÃO A MÉDIA DOS DEMAIS PREÇOS]]&gt;LIM_SUP,"EXCESSIVAMENTE ELEVADO","VÁLIDO"))))</f>
        <v>VÁLIDO</v>
      </c>
      <c r="H71" s="241">
        <f>IFERROR(Tabela41115[[#This Row],[VALORES]]/Tabela41115[[#This Row],[MÉDIA DOS DEMAIS]],"")</f>
        <v>1.0714342068188223</v>
      </c>
      <c r="I71" s="242" t="str">
        <f>IF(AND(Tabela41115[[#This Row],[VALORES]]=0,D70=0,D71=0),"",IF(AND(Tabela41115[[#This Row],[VALORES]]=0,D71=0,D72=0),"",IF(AND(Tabela41115[[#This Row],[VALORES]]=0,D72=0,D73=0),"",IF(Tabela41115[[#This Row],[PERCENTUAL EM RELAÇÃO A MÉDIA DOS DEMAIS PREÇOS ]]&lt;LIM_INF,"INEXEQUEVEL","VÁLIDO"))))</f>
        <v>VÁLIDO</v>
      </c>
      <c r="J71" s="243" t="str">
        <f>CONCATENATE("&lt;&gt;",Tabela41115[[#This Row],[EMPRESA]])</f>
        <v>&lt;&gt;AUTOENG</v>
      </c>
      <c r="K71" s="214"/>
      <c r="L71" s="244">
        <f t="shared" si="6"/>
        <v>46075</v>
      </c>
      <c r="M71" s="212" t="e">
        <f>IF(L71=#REF!,"",IF((L71-#REF!)&lt;0,ROUNDDOWN(L71-#REF!,0)&amp;" dias","+"&amp;ROUNDDOWN(L71-#REF!,0)&amp;" dias"))</f>
        <v>#REF!</v>
      </c>
    </row>
    <row r="72" spans="1:13" ht="10.5" customHeight="1" thickTop="1" x14ac:dyDescent="0.15">
      <c r="A72" s="215"/>
      <c r="B72" s="248"/>
      <c r="C72" s="249"/>
      <c r="D72" s="250" t="s">
        <v>284</v>
      </c>
      <c r="E72" s="251">
        <f>IFERROR(_xlfn.STDEV.S(Tabela41115[VALORES]),"")</f>
        <v>55.893386311202626</v>
      </c>
      <c r="F72" s="510" t="s">
        <v>257</v>
      </c>
      <c r="G72" s="511"/>
      <c r="H72" s="511"/>
      <c r="I72" s="512"/>
      <c r="J72" s="214"/>
    </row>
    <row r="73" spans="1:13" x14ac:dyDescent="0.15">
      <c r="A73" s="215"/>
      <c r="B73" s="252"/>
      <c r="C73" s="253"/>
      <c r="D73" s="254" t="s">
        <v>285</v>
      </c>
      <c r="E73" s="272">
        <f>IFERROR(TRUNC(E72/E74,4),"")</f>
        <v>6.1499999999999999E-2</v>
      </c>
      <c r="F73" s="513"/>
      <c r="G73" s="514"/>
      <c r="H73" s="514"/>
      <c r="I73" s="515"/>
      <c r="J73" s="214"/>
    </row>
    <row r="74" spans="1:13" ht="9.75" customHeight="1" x14ac:dyDescent="0.15">
      <c r="A74" s="215"/>
      <c r="B74" s="256"/>
      <c r="C74" s="257"/>
      <c r="D74" s="254" t="s">
        <v>258</v>
      </c>
      <c r="E74" s="258">
        <f>IFERROR(AVERAGE(Tabela41115[VALORES]),"")</f>
        <v>908.37666666666667</v>
      </c>
      <c r="F74" s="504" t="s">
        <v>259</v>
      </c>
      <c r="G74" s="505"/>
      <c r="H74" s="505"/>
      <c r="I74" s="506"/>
      <c r="J74" s="214"/>
    </row>
    <row r="75" spans="1:13" ht="15.75" customHeight="1" thickBot="1" x14ac:dyDescent="0.2">
      <c r="A75" s="215"/>
      <c r="B75" s="259"/>
      <c r="C75" s="260" t="s">
        <v>260</v>
      </c>
      <c r="D75" s="260" t="str">
        <f>CONCATENATE(IF(E73&gt;=25%,"MEDIANA","MÉDIA"))</f>
        <v>MÉDIA</v>
      </c>
      <c r="E75" s="261">
        <f>IFERROR(TRUNC(IF(D75="MEDIANA",MEDIAN(Tabela41115[VALORES]),IF(D75="MÉDIA",AVERAGE(Tabela41115[VALORES]),0)),2),"")</f>
        <v>908.37</v>
      </c>
      <c r="F75" s="507"/>
      <c r="G75" s="508"/>
      <c r="H75" s="508"/>
      <c r="I75" s="509"/>
      <c r="J75" s="214"/>
    </row>
    <row r="76" spans="1:13" ht="10.5" thickTop="1" x14ac:dyDescent="0.15">
      <c r="A76" s="215"/>
      <c r="D76" s="266"/>
      <c r="E76" s="267"/>
    </row>
    <row r="77" spans="1:13" ht="10.5" thickBot="1" x14ac:dyDescent="0.2">
      <c r="A77" s="215"/>
      <c r="B77" s="264" t="s">
        <v>267</v>
      </c>
      <c r="C77" s="265"/>
      <c r="D77" s="265"/>
      <c r="E77" s="265"/>
      <c r="F77" s="265"/>
      <c r="G77" s="265"/>
      <c r="H77" s="265"/>
      <c r="I77" s="265"/>
      <c r="J77" s="214"/>
    </row>
    <row r="78" spans="1:13" ht="10.5" thickTop="1" x14ac:dyDescent="0.15">
      <c r="A78" s="215"/>
      <c r="B78" s="224"/>
      <c r="C78" s="225" t="s">
        <v>181</v>
      </c>
      <c r="D78" s="225"/>
      <c r="E78" s="226"/>
      <c r="F78" s="227" t="s">
        <v>244</v>
      </c>
      <c r="G78" s="228"/>
      <c r="H78" s="229" t="s">
        <v>245</v>
      </c>
      <c r="I78" s="230"/>
      <c r="J78" s="214"/>
    </row>
    <row r="79" spans="1:13" ht="39" x14ac:dyDescent="0.15">
      <c r="A79" s="215"/>
      <c r="B79" s="231" t="s">
        <v>246</v>
      </c>
      <c r="C79" s="232" t="s">
        <v>247</v>
      </c>
      <c r="D79" s="232" t="s">
        <v>248</v>
      </c>
      <c r="E79" s="233" t="s">
        <v>249</v>
      </c>
      <c r="F79" s="234" t="s">
        <v>250</v>
      </c>
      <c r="G79" s="235" t="s">
        <v>251</v>
      </c>
      <c r="H79" s="234" t="s">
        <v>252</v>
      </c>
      <c r="I79" s="236" t="s">
        <v>253</v>
      </c>
      <c r="J79" s="232" t="s">
        <v>261</v>
      </c>
      <c r="K79" s="214"/>
    </row>
    <row r="80" spans="1:13" x14ac:dyDescent="0.15">
      <c r="A80" s="215"/>
      <c r="B80" s="237">
        <v>45894</v>
      </c>
      <c r="C80" s="232" t="s">
        <v>254</v>
      </c>
      <c r="D80" s="238">
        <v>845</v>
      </c>
      <c r="E80" s="223">
        <f>IFERROR(AVERAGEIF(Tabela41116[[#All],[EMPRESA]],Tabela41116[[#This Row],[ITEM2]],Tabela41116[[#All],[VALORES]]),"")</f>
        <v>940.06500000000005</v>
      </c>
      <c r="F80" s="239">
        <f>IFERROR(Tabela41116[[#This Row],[VALORES]]/Tabela41116[[#This Row],[MÉDIA DOS DEMAIS]]-1,"")</f>
        <v>-0.10112598596905542</v>
      </c>
      <c r="G80" s="240" t="str">
        <f>IF(AND(Tabela41116[[#This Row],[VALORES]]=0,D79=0,D80=0),"",IF(AND(Tabela41116[[#This Row],[VALORES]]=0,D80=0,D81=0),"",IF(AND(Tabela41116[[#This Row],[VALORES]]=0,D81=0,D82=0),"",IF(Tabela41116[[#This Row],[PERCENTUAL EM RELAÇÃO A MÉDIA DOS DEMAIS PREÇOS]]&gt;LIM_SUP,"EXCESSIVAMENTE ELEVADO","VÁLIDO"))))</f>
        <v>VÁLIDO</v>
      </c>
      <c r="H80" s="241">
        <f>IFERROR(Tabela41116[[#This Row],[VALORES]]/Tabela41116[[#This Row],[MÉDIA DOS DEMAIS]],"")</f>
        <v>0.89887401403094458</v>
      </c>
      <c r="I80" s="242" t="str">
        <f>IF(AND(Tabela41116[[#This Row],[VALORES]]=0,D79=0,D80=0),"",IF(AND(Tabela41116[[#This Row],[VALORES]]=0,D80=0,D81=0),"",IF(AND(Tabela41116[[#This Row],[VALORES]]=0,D81=0,D82=0),"",IF(Tabela41116[[#This Row],[PERCENTUAL EM RELAÇÃO A MÉDIA DOS DEMAIS PREÇOS ]]&lt;LIM_INF,"INEXEQUEVEL","VÁLIDO"))))</f>
        <v>VÁLIDO</v>
      </c>
      <c r="J80" s="243" t="str">
        <f>CONCATENATE("&lt;&gt;",Tabela41116[[#This Row],[EMPRESA]])</f>
        <v xml:space="preserve">&lt;&gt;FORTLUX </v>
      </c>
      <c r="K80" s="214"/>
      <c r="L80" s="244">
        <f>B80+180</f>
        <v>46074</v>
      </c>
      <c r="M80" s="212" t="e">
        <f>IF(L80=#REF!,"",IF((L80-#REF!)&lt;0,ROUNDDOWN(L80-#REF!,0)&amp;" dias","+"&amp;ROUNDDOWN(L80-#REF!,0)&amp;" dias"))</f>
        <v>#REF!</v>
      </c>
    </row>
    <row r="81" spans="1:13" x14ac:dyDescent="0.15">
      <c r="A81" s="215"/>
      <c r="B81" s="237">
        <v>45894</v>
      </c>
      <c r="C81" s="232" t="s">
        <v>255</v>
      </c>
      <c r="D81" s="238">
        <v>929.5</v>
      </c>
      <c r="E81" s="223">
        <f>IFERROR(AVERAGEIF(Tabela41116[[#All],[EMPRESA]],Tabela41116[[#This Row],[ITEM2]],Tabela41116[[#All],[VALORES]]),"")</f>
        <v>897.81500000000005</v>
      </c>
      <c r="F81" s="245">
        <f>IFERROR(Tabela41116[[#This Row],[VALORES]]/Tabela41116[[#This Row],[MÉDIA DOS DEMAIS]]-1,"")</f>
        <v>3.529123483122909E-2</v>
      </c>
      <c r="G81" s="246" t="str">
        <f>IF(AND(Tabela41116[[#This Row],[VALORES]]=0,D80=0,D81=0),"",IF(AND(Tabela41116[[#This Row],[VALORES]]=0,D81=0,D82=0),"",IF(AND(Tabela41116[[#This Row],[VALORES]]=0,D82=0,D83=0),"",IF(Tabela41116[[#This Row],[PERCENTUAL EM RELAÇÃO A MÉDIA DOS DEMAIS PREÇOS]]&gt;LIM_SUP,"EXCESSIVAMENTE ELEVADO","VÁLIDO"))))</f>
        <v>VÁLIDO</v>
      </c>
      <c r="H81" s="241">
        <f>IFERROR(Tabela41116[[#This Row],[VALORES]]/Tabela41116[[#This Row],[MÉDIA DOS DEMAIS]],"")</f>
        <v>1.0352912348312291</v>
      </c>
      <c r="I81" s="247" t="str">
        <f>IF(AND(Tabela41116[[#This Row],[VALORES]]=0,D80=0,D81=0),"",IF(AND(Tabela41116[[#This Row],[VALORES]]=0,D81=0,D82=0),"",IF(AND(Tabela41116[[#This Row],[VALORES]]=0,D82=0,D83=0),"",IF(Tabela41116[[#This Row],[PERCENTUAL EM RELAÇÃO A MÉDIA DOS DEMAIS PREÇOS ]]&lt;LIM_INF,"INEXEQUEVEL","VÁLIDO"))))</f>
        <v>VÁLIDO</v>
      </c>
      <c r="J81" s="243" t="str">
        <f>CONCATENATE("&lt;&gt;",Tabela41116[[#This Row],[EMPRESA]])</f>
        <v>&lt;&gt;DN DECOR LTDA</v>
      </c>
      <c r="K81" s="214"/>
      <c r="L81" s="244">
        <f t="shared" ref="L81:L82" si="7">B81+180</f>
        <v>46074</v>
      </c>
      <c r="M81" s="212" t="e">
        <f>IF(L81=#REF!,"",IF((L81-#REF!)&lt;0,ROUNDDOWN(L81-#REF!,0)&amp;" dias","+"&amp;ROUNDDOWN(L81-#REF!,0)&amp;" dias"))</f>
        <v>#REF!</v>
      </c>
    </row>
    <row r="82" spans="1:13" ht="10.5" thickBot="1" x14ac:dyDescent="0.2">
      <c r="A82" s="215"/>
      <c r="B82" s="237">
        <v>45895</v>
      </c>
      <c r="C82" s="232" t="s">
        <v>256</v>
      </c>
      <c r="D82" s="238">
        <v>950.63</v>
      </c>
      <c r="E82" s="223">
        <f>IFERROR(AVERAGEIF(Tabela41116[[#All],[EMPRESA]],Tabela41116[[#This Row],[ITEM2]],Tabela41116[[#All],[VALORES]]),"")</f>
        <v>887.25</v>
      </c>
      <c r="F82" s="239">
        <f>IFERROR(Tabela41116[[#This Row],[VALORES]]/Tabela41116[[#This Row],[MÉDIA DOS DEMAIS]]-1,"")</f>
        <v>7.1434206818822288E-2</v>
      </c>
      <c r="G82" s="240" t="str">
        <f>IF(AND(Tabela41116[[#This Row],[VALORES]]=0,D81=0,D82=0),"",IF(AND(Tabela41116[[#This Row],[VALORES]]=0,D82=0,D83=0),"",IF(AND(Tabela41116[[#This Row],[VALORES]]=0,D83=0,D89=0),"",IF(Tabela41116[[#This Row],[PERCENTUAL EM RELAÇÃO A MÉDIA DOS DEMAIS PREÇOS]]&gt;LIM_SUP,"EXCESSIVAMENTE ELEVADO","VÁLIDO"))))</f>
        <v>VÁLIDO</v>
      </c>
      <c r="H82" s="241">
        <f>IFERROR(Tabela41116[[#This Row],[VALORES]]/Tabela41116[[#This Row],[MÉDIA DOS DEMAIS]],"")</f>
        <v>1.0714342068188223</v>
      </c>
      <c r="I82" s="242" t="str">
        <f>IF(AND(Tabela41116[[#This Row],[VALORES]]=0,D81=0,D82=0),"",IF(AND(Tabela41116[[#This Row],[VALORES]]=0,D82=0,D83=0),"",IF(AND(Tabela41116[[#This Row],[VALORES]]=0,D83=0,D89=0),"",IF(Tabela41116[[#This Row],[PERCENTUAL EM RELAÇÃO A MÉDIA DOS DEMAIS PREÇOS ]]&lt;LIM_INF,"INEXEQUEVEL","VÁLIDO"))))</f>
        <v>VÁLIDO</v>
      </c>
      <c r="J82" s="243" t="str">
        <f>CONCATENATE("&lt;&gt;",Tabela41116[[#This Row],[EMPRESA]])</f>
        <v>&lt;&gt;AUTOENG</v>
      </c>
      <c r="K82" s="214"/>
      <c r="L82" s="244">
        <f t="shared" si="7"/>
        <v>46075</v>
      </c>
      <c r="M82" s="212" t="e">
        <f>IF(L82=#REF!,"",IF((L82-#REF!)&lt;0,ROUNDDOWN(L82-#REF!,0)&amp;" dias","+"&amp;ROUNDDOWN(L82-#REF!,0)&amp;" dias"))</f>
        <v>#REF!</v>
      </c>
    </row>
    <row r="83" spans="1:13" ht="10.5" customHeight="1" thickTop="1" x14ac:dyDescent="0.15">
      <c r="A83" s="215"/>
      <c r="B83" s="248"/>
      <c r="C83" s="249"/>
      <c r="D83" s="250" t="s">
        <v>284</v>
      </c>
      <c r="E83" s="251">
        <f>IFERROR(_xlfn.STDEV.S(Tabela41116[VALORES]),"")</f>
        <v>55.893386311202626</v>
      </c>
      <c r="F83" s="510" t="s">
        <v>257</v>
      </c>
      <c r="G83" s="511"/>
      <c r="H83" s="511"/>
      <c r="I83" s="512"/>
      <c r="J83" s="214"/>
    </row>
    <row r="84" spans="1:13" x14ac:dyDescent="0.15">
      <c r="A84" s="215"/>
      <c r="B84" s="252"/>
      <c r="C84" s="253"/>
      <c r="D84" s="254" t="s">
        <v>285</v>
      </c>
      <c r="E84" s="272">
        <f>IFERROR(TRUNC(E83/E85,4),"")</f>
        <v>6.1499999999999999E-2</v>
      </c>
      <c r="F84" s="513"/>
      <c r="G84" s="514"/>
      <c r="H84" s="514"/>
      <c r="I84" s="515"/>
      <c r="J84" s="214"/>
    </row>
    <row r="85" spans="1:13" ht="9.75" customHeight="1" x14ac:dyDescent="0.15">
      <c r="A85" s="215"/>
      <c r="B85" s="256"/>
      <c r="C85" s="257"/>
      <c r="D85" s="254" t="s">
        <v>258</v>
      </c>
      <c r="E85" s="258">
        <f>IFERROR(AVERAGE(Tabela41116[VALORES]),"")</f>
        <v>908.37666666666667</v>
      </c>
      <c r="F85" s="504" t="s">
        <v>259</v>
      </c>
      <c r="G85" s="505"/>
      <c r="H85" s="505"/>
      <c r="I85" s="506"/>
      <c r="J85" s="214"/>
    </row>
    <row r="86" spans="1:13" ht="15.75" customHeight="1" thickBot="1" x14ac:dyDescent="0.2">
      <c r="A86" s="215"/>
      <c r="B86" s="259"/>
      <c r="C86" s="260" t="s">
        <v>260</v>
      </c>
      <c r="D86" s="260" t="str">
        <f>CONCATENATE(IF(E89&gt;=25%,"MEDIANA","MÉDIA"))</f>
        <v>MÉDIA</v>
      </c>
      <c r="E86" s="261">
        <f>IFERROR(TRUNC(IF(D86="MEDIANA",MEDIAN(Tabela41116[VALORES]),IF(D86="MÉDIA",AVERAGE(Tabela41116[VALORES]),0)),2),"")</f>
        <v>908.37</v>
      </c>
      <c r="F86" s="507"/>
      <c r="G86" s="508"/>
      <c r="H86" s="508"/>
      <c r="I86" s="509"/>
      <c r="J86" s="214"/>
    </row>
    <row r="87" spans="1:13" ht="10.5" thickTop="1" x14ac:dyDescent="0.15">
      <c r="A87" s="215"/>
      <c r="D87" s="266"/>
      <c r="E87" s="267"/>
    </row>
    <row r="88" spans="1:13" ht="10.5" thickBot="1" x14ac:dyDescent="0.2">
      <c r="A88" s="215"/>
      <c r="B88" s="264" t="s">
        <v>268</v>
      </c>
      <c r="C88" s="268"/>
      <c r="D88" s="268"/>
      <c r="E88" s="268"/>
      <c r="F88" s="268"/>
      <c r="G88" s="265"/>
      <c r="H88" s="265"/>
      <c r="I88" s="265"/>
      <c r="J88" s="214"/>
    </row>
    <row r="89" spans="1:13" ht="10.5" thickTop="1" x14ac:dyDescent="0.15">
      <c r="A89" s="215"/>
      <c r="B89" s="224"/>
      <c r="C89" s="225" t="s">
        <v>181</v>
      </c>
      <c r="D89" s="225"/>
      <c r="E89" s="226"/>
      <c r="F89" s="227" t="s">
        <v>244</v>
      </c>
      <c r="G89" s="228"/>
      <c r="H89" s="229" t="s">
        <v>245</v>
      </c>
      <c r="I89" s="230"/>
      <c r="J89" s="214"/>
    </row>
    <row r="90" spans="1:13" ht="39" x14ac:dyDescent="0.15">
      <c r="A90" s="215"/>
      <c r="B90" s="231" t="s">
        <v>246</v>
      </c>
      <c r="C90" s="232" t="s">
        <v>247</v>
      </c>
      <c r="D90" s="232" t="s">
        <v>248</v>
      </c>
      <c r="E90" s="233" t="s">
        <v>249</v>
      </c>
      <c r="F90" s="234" t="s">
        <v>250</v>
      </c>
      <c r="G90" s="235" t="s">
        <v>251</v>
      </c>
      <c r="H90" s="234" t="s">
        <v>252</v>
      </c>
      <c r="I90" s="236" t="s">
        <v>253</v>
      </c>
      <c r="J90" s="232" t="s">
        <v>261</v>
      </c>
      <c r="K90" s="214"/>
    </row>
    <row r="91" spans="1:13" x14ac:dyDescent="0.15">
      <c r="A91" s="215"/>
      <c r="B91" s="237">
        <v>45894</v>
      </c>
      <c r="C91" s="232" t="s">
        <v>254</v>
      </c>
      <c r="D91" s="238">
        <v>31.8</v>
      </c>
      <c r="E91" s="223">
        <f>IFERROR(AVERAGEIF(Tabela4112[[#All],[EMPRESA]],Tabela4112[[#This Row],[ITEM2]],Tabela4112[[#All],[VALORES]]),"")</f>
        <v>35.379999999999995</v>
      </c>
      <c r="F91" s="239">
        <f>IFERROR(Tabela4112[[#This Row],[VALORES]]/Tabela4112[[#This Row],[MÉDIA DOS DEMAIS]]-1,"")</f>
        <v>-0.10118711136235148</v>
      </c>
      <c r="G91" s="240" t="str">
        <f>IF(AND(Tabela4112[[#This Row],[VALORES]]=0,D90=0,D91=0),"",IF(AND(Tabela4112[[#This Row],[VALORES]]=0,D91=0,D92=0),"",IF(AND(Tabela4112[[#This Row],[VALORES]]=0,D92=0,D93=0),"",IF(Tabela4112[[#This Row],[PERCENTUAL EM RELAÇÃO A MÉDIA DOS DEMAIS PREÇOS]]&gt;LIM_SUP,"EXCESSIVAMENTE ELEVADO","VÁLIDO"))))</f>
        <v>VÁLIDO</v>
      </c>
      <c r="H91" s="241">
        <f>IFERROR(Tabela4112[[#This Row],[VALORES]]/Tabela4112[[#This Row],[MÉDIA DOS DEMAIS]],"")</f>
        <v>0.89881288863764852</v>
      </c>
      <c r="I91" s="242" t="str">
        <f>IF(AND(Tabela4112[[#This Row],[VALORES]]=0,D90=0,D91=0),"",IF(AND(Tabela4112[[#This Row],[VALORES]]=0,D91=0,D92=0),"",IF(AND(Tabela4112[[#This Row],[VALORES]]=0,D92=0,D93=0),"",IF(Tabela4112[[#This Row],[PERCENTUAL EM RELAÇÃO A MÉDIA DOS DEMAIS PREÇOS ]]&lt;LIM_INF,"INEXEQUEVEL","VÁLIDO"))))</f>
        <v>VÁLIDO</v>
      </c>
      <c r="J91" s="243" t="str">
        <f>CONCATENATE("&lt;&gt;",Tabela4112[[#This Row],[EMPRESA]])</f>
        <v xml:space="preserve">&lt;&gt;FORTLUX </v>
      </c>
      <c r="K91" s="214"/>
      <c r="L91" s="244">
        <f>B91+180</f>
        <v>46074</v>
      </c>
      <c r="M91" s="212" t="e">
        <f>IF(L91=#REF!,"",IF((L91-#REF!)&lt;0,ROUNDDOWN(L91-#REF!,0)&amp;" dias","+"&amp;ROUNDDOWN(L91-#REF!,0)&amp;" dias"))</f>
        <v>#REF!</v>
      </c>
    </row>
    <row r="92" spans="1:13" x14ac:dyDescent="0.15">
      <c r="A92" s="215"/>
      <c r="B92" s="237">
        <v>45894</v>
      </c>
      <c r="C92" s="232" t="s">
        <v>255</v>
      </c>
      <c r="D92" s="238">
        <v>34.979999999999997</v>
      </c>
      <c r="E92" s="223">
        <f>IFERROR(AVERAGEIF(Tabela4112[[#All],[EMPRESA]],Tabela4112[[#This Row],[ITEM2]],Tabela4112[[#All],[VALORES]]),"")</f>
        <v>33.79</v>
      </c>
      <c r="F92" s="245">
        <f>IFERROR(Tabela4112[[#This Row],[VALORES]]/Tabela4112[[#This Row],[MÉDIA DOS DEMAIS]]-1,"")</f>
        <v>3.5217519976324274E-2</v>
      </c>
      <c r="G92" s="246" t="str">
        <f>IF(AND(Tabela4112[[#This Row],[VALORES]]=0,D91=0,D92=0),"",IF(AND(Tabela4112[[#This Row],[VALORES]]=0,D92=0,D93=0),"",IF(AND(Tabela4112[[#This Row],[VALORES]]=0,D93=0,D94=0),"",IF(Tabela4112[[#This Row],[PERCENTUAL EM RELAÇÃO A MÉDIA DOS DEMAIS PREÇOS]]&gt;LIM_SUP,"EXCESSIVAMENTE ELEVADO","VÁLIDO"))))</f>
        <v>VÁLIDO</v>
      </c>
      <c r="H92" s="241">
        <f>IFERROR(Tabela4112[[#This Row],[VALORES]]/Tabela4112[[#This Row],[MÉDIA DOS DEMAIS]],"")</f>
        <v>1.0352175199763243</v>
      </c>
      <c r="I92" s="247" t="str">
        <f>IF(AND(Tabela4112[[#This Row],[VALORES]]=0,D91=0,D92=0),"",IF(AND(Tabela4112[[#This Row],[VALORES]]=0,D92=0,D93=0),"",IF(AND(Tabela4112[[#This Row],[VALORES]]=0,D93=0,D94=0),"",IF(Tabela4112[[#This Row],[PERCENTUAL EM RELAÇÃO A MÉDIA DOS DEMAIS PREÇOS ]]&lt;LIM_INF,"INEXEQUEVEL","VÁLIDO"))))</f>
        <v>VÁLIDO</v>
      </c>
      <c r="J92" s="243" t="str">
        <f>CONCATENATE("&lt;&gt;",Tabela4112[[#This Row],[EMPRESA]])</f>
        <v>&lt;&gt;DN DECOR LTDA</v>
      </c>
      <c r="K92" s="214"/>
      <c r="L92" s="244">
        <f t="shared" ref="L92:L93" si="8">B92+180</f>
        <v>46074</v>
      </c>
      <c r="M92" s="212" t="e">
        <f>IF(L92=#REF!,"",IF((L92-#REF!)&lt;0,ROUNDDOWN(L92-#REF!,0)&amp;" dias","+"&amp;ROUNDDOWN(L92-#REF!,0)&amp;" dias"))</f>
        <v>#REF!</v>
      </c>
    </row>
    <row r="93" spans="1:13" ht="10.5" thickBot="1" x14ac:dyDescent="0.2">
      <c r="A93" s="215"/>
      <c r="B93" s="237">
        <v>45895</v>
      </c>
      <c r="C93" s="232" t="s">
        <v>256</v>
      </c>
      <c r="D93" s="238">
        <v>35.78</v>
      </c>
      <c r="E93" s="223">
        <f>IFERROR(AVERAGEIF(Tabela4112[[#All],[EMPRESA]],Tabela4112[[#This Row],[ITEM2]],Tabela4112[[#All],[VALORES]]),"")</f>
        <v>33.39</v>
      </c>
      <c r="F93" s="239">
        <f>IFERROR(Tabela4112[[#This Row],[VALORES]]/Tabela4112[[#This Row],[MÉDIA DOS DEMAIS]]-1,"")</f>
        <v>7.1578316861335756E-2</v>
      </c>
      <c r="G93" s="240" t="str">
        <f>IF(AND(Tabela4112[[#This Row],[VALORES]]=0,D92=0,D93=0),"",IF(AND(Tabela4112[[#This Row],[VALORES]]=0,D93=0,D94=0),"",IF(AND(Tabela4112[[#This Row],[VALORES]]=0,D94=0,D95=0),"",IF(Tabela4112[[#This Row],[PERCENTUAL EM RELAÇÃO A MÉDIA DOS DEMAIS PREÇOS]]&gt;LIM_SUP,"EXCESSIVAMENTE ELEVADO","VÁLIDO"))))</f>
        <v>VÁLIDO</v>
      </c>
      <c r="H93" s="241">
        <f>IFERROR(Tabela4112[[#This Row],[VALORES]]/Tabela4112[[#This Row],[MÉDIA DOS DEMAIS]],"")</f>
        <v>1.0715783168613358</v>
      </c>
      <c r="I93" s="242" t="str">
        <f>IF(AND(Tabela4112[[#This Row],[VALORES]]=0,D92=0,D93=0),"",IF(AND(Tabela4112[[#This Row],[VALORES]]=0,D93=0,D94=0),"",IF(AND(Tabela4112[[#This Row],[VALORES]]=0,D94=0,D95=0),"",IF(Tabela4112[[#This Row],[PERCENTUAL EM RELAÇÃO A MÉDIA DOS DEMAIS PREÇOS ]]&lt;LIM_INF,"INEXEQUEVEL","VÁLIDO"))))</f>
        <v>VÁLIDO</v>
      </c>
      <c r="J93" s="243" t="str">
        <f>CONCATENATE("&lt;&gt;",Tabela4112[[#This Row],[EMPRESA]])</f>
        <v>&lt;&gt;AUTOENG</v>
      </c>
      <c r="K93" s="214"/>
      <c r="L93" s="244">
        <f t="shared" si="8"/>
        <v>46075</v>
      </c>
      <c r="M93" s="212" t="e">
        <f>IF(L93=#REF!,"",IF((L93-#REF!)&lt;0,ROUNDDOWN(L93-#REF!,0)&amp;" dias","+"&amp;ROUNDDOWN(L93-#REF!,0)&amp;" dias"))</f>
        <v>#REF!</v>
      </c>
    </row>
    <row r="94" spans="1:13" ht="10.5" customHeight="1" thickTop="1" x14ac:dyDescent="0.15">
      <c r="A94" s="215"/>
      <c r="B94" s="248"/>
      <c r="C94" s="249"/>
      <c r="D94" s="250" t="s">
        <v>284</v>
      </c>
      <c r="E94" s="251">
        <f>IFERROR(_xlfn.STDEV.S(Tabela4112[VALORES]),"")</f>
        <v>2.1052632456140326</v>
      </c>
      <c r="F94" s="510" t="s">
        <v>257</v>
      </c>
      <c r="G94" s="511"/>
      <c r="H94" s="511"/>
      <c r="I94" s="512"/>
      <c r="J94" s="214"/>
    </row>
    <row r="95" spans="1:13" x14ac:dyDescent="0.15">
      <c r="A95" s="215"/>
      <c r="B95" s="252"/>
      <c r="C95" s="253"/>
      <c r="D95" s="254" t="s">
        <v>285</v>
      </c>
      <c r="E95" s="272">
        <f>IFERROR(TRUNC(E94/E96,4),"")</f>
        <v>6.1499999999999999E-2</v>
      </c>
      <c r="F95" s="513"/>
      <c r="G95" s="514"/>
      <c r="H95" s="514"/>
      <c r="I95" s="515"/>
      <c r="J95" s="214"/>
    </row>
    <row r="96" spans="1:13" ht="9.75" customHeight="1" x14ac:dyDescent="0.15">
      <c r="A96" s="215"/>
      <c r="B96" s="256"/>
      <c r="C96" s="257"/>
      <c r="D96" s="254" t="s">
        <v>258</v>
      </c>
      <c r="E96" s="258">
        <f>IFERROR(AVERAGE(Tabela4112[VALORES]),"")</f>
        <v>34.186666666666667</v>
      </c>
      <c r="F96" s="504" t="s">
        <v>259</v>
      </c>
      <c r="G96" s="505"/>
      <c r="H96" s="505"/>
      <c r="I96" s="506"/>
      <c r="J96" s="214"/>
    </row>
    <row r="97" spans="1:13" ht="15.75" customHeight="1" thickBot="1" x14ac:dyDescent="0.2">
      <c r="A97" s="215"/>
      <c r="B97" s="259"/>
      <c r="C97" s="260" t="s">
        <v>260</v>
      </c>
      <c r="D97" s="260" t="str">
        <f>CONCATENATE(IF(E95&gt;=25%,"MEDIANA","MÉDIA"))</f>
        <v>MÉDIA</v>
      </c>
      <c r="E97" s="261">
        <f>IFERROR(TRUNC(IF(D97="MEDIANA",MEDIAN(Tabela4112[VALORES]),IF(D97="MÉDIA",AVERAGE(Tabela4112[VALORES]),0)),2),"")</f>
        <v>34.18</v>
      </c>
      <c r="F97" s="507"/>
      <c r="G97" s="508"/>
      <c r="H97" s="508"/>
      <c r="I97" s="509"/>
      <c r="J97" s="214"/>
    </row>
    <row r="98" spans="1:13" ht="10.5" thickTop="1" x14ac:dyDescent="0.15">
      <c r="A98" s="215"/>
      <c r="D98" s="266"/>
      <c r="E98" s="267"/>
    </row>
    <row r="99" spans="1:13" ht="10.5" customHeight="1" thickBot="1" x14ac:dyDescent="0.2">
      <c r="A99" s="215"/>
      <c r="B99" s="271" t="s">
        <v>269</v>
      </c>
      <c r="C99" s="270"/>
      <c r="D99" s="270"/>
      <c r="E99" s="270"/>
      <c r="F99" s="270"/>
      <c r="G99" s="270"/>
      <c r="H99" s="270"/>
      <c r="I99" s="270"/>
      <c r="J99" s="214"/>
    </row>
    <row r="100" spans="1:13" ht="10.5" thickTop="1" x14ac:dyDescent="0.15">
      <c r="A100" s="215"/>
      <c r="B100" s="224"/>
      <c r="C100" s="225" t="s">
        <v>181</v>
      </c>
      <c r="D100" s="225"/>
      <c r="E100" s="226"/>
      <c r="F100" s="227" t="s">
        <v>244</v>
      </c>
      <c r="G100" s="228"/>
      <c r="H100" s="229" t="s">
        <v>245</v>
      </c>
      <c r="I100" s="230"/>
      <c r="J100" s="214"/>
    </row>
    <row r="101" spans="1:13" ht="39" x14ac:dyDescent="0.15">
      <c r="A101" s="215"/>
      <c r="B101" s="231" t="s">
        <v>246</v>
      </c>
      <c r="C101" s="232" t="s">
        <v>247</v>
      </c>
      <c r="D101" s="232" t="s">
        <v>248</v>
      </c>
      <c r="E101" s="233" t="s">
        <v>249</v>
      </c>
      <c r="F101" s="234" t="s">
        <v>250</v>
      </c>
      <c r="G101" s="235" t="s">
        <v>251</v>
      </c>
      <c r="H101" s="234" t="s">
        <v>252</v>
      </c>
      <c r="I101" s="236" t="s">
        <v>253</v>
      </c>
      <c r="J101" s="232" t="s">
        <v>261</v>
      </c>
      <c r="K101" s="214"/>
    </row>
    <row r="102" spans="1:13" x14ac:dyDescent="0.15">
      <c r="A102" s="215"/>
      <c r="B102" s="237">
        <v>45894</v>
      </c>
      <c r="C102" s="232" t="s">
        <v>254</v>
      </c>
      <c r="D102" s="238">
        <v>32.880000000000003</v>
      </c>
      <c r="E102" s="223">
        <f>IFERROR(AVERAGEIF(Tabela4113[[#All],[EMPRESA]],Tabela4113[[#This Row],[ITEM2]],Tabela4113[[#All],[VALORES]]),"")</f>
        <v>36.58</v>
      </c>
      <c r="F102" s="239">
        <f>IFERROR(Tabela4113[[#This Row],[VALORES]]/Tabela4113[[#This Row],[MÉDIA DOS DEMAIS]]-1,"")</f>
        <v>-0.10114816839803165</v>
      </c>
      <c r="G102" s="240" t="str">
        <f>IF(AND(Tabela4113[[#This Row],[VALORES]]=0,D101=0,D102=0),"",IF(AND(Tabela4113[[#This Row],[VALORES]]=0,D102=0,D103=0),"",IF(AND(Tabela4113[[#This Row],[VALORES]]=0,D103=0,D104=0),"",IF(Tabela4113[[#This Row],[PERCENTUAL EM RELAÇÃO A MÉDIA DOS DEMAIS PREÇOS]]&gt;LIM_SUP,"EXCESSIVAMENTE ELEVADO","VÁLIDO"))))</f>
        <v>VÁLIDO</v>
      </c>
      <c r="H102" s="241">
        <f>IFERROR(Tabela4113[[#This Row],[VALORES]]/Tabela4113[[#This Row],[MÉDIA DOS DEMAIS]],"")</f>
        <v>0.89885183160196835</v>
      </c>
      <c r="I102" s="242" t="str">
        <f>IF(AND(Tabela4113[[#This Row],[VALORES]]=0,D101=0,D102=0),"",IF(AND(Tabela4113[[#This Row],[VALORES]]=0,D102=0,D103=0),"",IF(AND(Tabela4113[[#This Row],[VALORES]]=0,D103=0,D104=0),"",IF(Tabela4113[[#This Row],[PERCENTUAL EM RELAÇÃO A MÉDIA DOS DEMAIS PREÇOS ]]&lt;LIM_INF,"INEXEQUEVEL","VÁLIDO"))))</f>
        <v>VÁLIDO</v>
      </c>
      <c r="J102" s="243" t="str">
        <f>CONCATENATE("&lt;&gt;",Tabela4113[[#This Row],[EMPRESA]])</f>
        <v xml:space="preserve">&lt;&gt;FORTLUX </v>
      </c>
      <c r="K102" s="214"/>
      <c r="L102" s="244">
        <f>B102+180</f>
        <v>46074</v>
      </c>
      <c r="M102" s="212" t="e">
        <f>IF(L102=#REF!,"",IF((L102-#REF!)&lt;0,ROUNDDOWN(L102-#REF!,0)&amp;" dias","+"&amp;ROUNDDOWN(L102-#REF!,0)&amp;" dias"))</f>
        <v>#REF!</v>
      </c>
    </row>
    <row r="103" spans="1:13" x14ac:dyDescent="0.15">
      <c r="A103" s="215"/>
      <c r="B103" s="237">
        <v>45894</v>
      </c>
      <c r="C103" s="232" t="s">
        <v>255</v>
      </c>
      <c r="D103" s="238">
        <v>36.17</v>
      </c>
      <c r="E103" s="223">
        <f>IFERROR(AVERAGEIF(Tabela4113[[#All],[EMPRESA]],Tabela4113[[#This Row],[ITEM2]],Tabela4113[[#All],[VALORES]]),"")</f>
        <v>34.935000000000002</v>
      </c>
      <c r="F103" s="245">
        <f>IFERROR(Tabela4113[[#This Row],[VALORES]]/Tabela4113[[#This Row],[MÉDIA DOS DEMAIS]]-1,"")</f>
        <v>3.5351366824101893E-2</v>
      </c>
      <c r="G103" s="246" t="str">
        <f>IF(AND(Tabela4113[[#This Row],[VALORES]]=0,D102=0,D103=0),"",IF(AND(Tabela4113[[#This Row],[VALORES]]=0,D103=0,D104=0),"",IF(AND(Tabela4113[[#This Row],[VALORES]]=0,D104=0,D105=0),"",IF(Tabela4113[[#This Row],[PERCENTUAL EM RELAÇÃO A MÉDIA DOS DEMAIS PREÇOS]]&gt;LIM_SUP,"EXCESSIVAMENTE ELEVADO","VÁLIDO"))))</f>
        <v>VÁLIDO</v>
      </c>
      <c r="H103" s="241">
        <f>IFERROR(Tabela4113[[#This Row],[VALORES]]/Tabela4113[[#This Row],[MÉDIA DOS DEMAIS]],"")</f>
        <v>1.0353513668241019</v>
      </c>
      <c r="I103" s="247" t="str">
        <f>IF(AND(Tabela4113[[#This Row],[VALORES]]=0,D102=0,D103=0),"",IF(AND(Tabela4113[[#This Row],[VALORES]]=0,D103=0,D104=0),"",IF(AND(Tabela4113[[#This Row],[VALORES]]=0,D104=0,D105=0),"",IF(Tabela4113[[#This Row],[PERCENTUAL EM RELAÇÃO A MÉDIA DOS DEMAIS PREÇOS ]]&lt;LIM_INF,"INEXEQUEVEL","VÁLIDO"))))</f>
        <v>VÁLIDO</v>
      </c>
      <c r="J103" s="243" t="str">
        <f>CONCATENATE("&lt;&gt;",Tabela4113[[#This Row],[EMPRESA]])</f>
        <v>&lt;&gt;DN DECOR LTDA</v>
      </c>
      <c r="K103" s="214"/>
      <c r="L103" s="244">
        <f t="shared" ref="L103:L104" si="9">B103+180</f>
        <v>46074</v>
      </c>
      <c r="M103" s="212" t="e">
        <f>IF(L103=#REF!,"",IF((L103-#REF!)&lt;0,ROUNDDOWN(L103-#REF!,0)&amp;" dias","+"&amp;ROUNDDOWN(L103-#REF!,0)&amp;" dias"))</f>
        <v>#REF!</v>
      </c>
    </row>
    <row r="104" spans="1:13" ht="10.5" thickBot="1" x14ac:dyDescent="0.2">
      <c r="A104" s="215"/>
      <c r="B104" s="237">
        <v>45895</v>
      </c>
      <c r="C104" s="232" t="s">
        <v>256</v>
      </c>
      <c r="D104" s="238">
        <v>36.99</v>
      </c>
      <c r="E104" s="223">
        <f>IFERROR(AVERAGEIF(Tabela4113[[#All],[EMPRESA]],Tabela4113[[#This Row],[ITEM2]],Tabela4113[[#All],[VALORES]]),"")</f>
        <v>34.525000000000006</v>
      </c>
      <c r="F104" s="239">
        <f>IFERROR(Tabela4113[[#This Row],[VALORES]]/Tabela4113[[#This Row],[MÉDIA DOS DEMAIS]]-1,"")</f>
        <v>7.1397538015930406E-2</v>
      </c>
      <c r="G104" s="240" t="str">
        <f>IF(AND(Tabela4113[[#This Row],[VALORES]]=0,D103=0,D104=0),"",IF(AND(Tabela4113[[#This Row],[VALORES]]=0,D104=0,D105=0),"",IF(AND(Tabela4113[[#This Row],[VALORES]]=0,D105=0,D106=0),"",IF(Tabela4113[[#This Row],[PERCENTUAL EM RELAÇÃO A MÉDIA DOS DEMAIS PREÇOS]]&gt;LIM_SUP,"EXCESSIVAMENTE ELEVADO","VÁLIDO"))))</f>
        <v>VÁLIDO</v>
      </c>
      <c r="H104" s="241">
        <f>IFERROR(Tabela4113[[#This Row],[VALORES]]/Tabela4113[[#This Row],[MÉDIA DOS DEMAIS]],"")</f>
        <v>1.0713975380159304</v>
      </c>
      <c r="I104" s="242" t="str">
        <f>IF(AND(Tabela4113[[#This Row],[VALORES]]=0,D103=0,D104=0),"",IF(AND(Tabela4113[[#This Row],[VALORES]]=0,D104=0,D105=0),"",IF(AND(Tabela4113[[#This Row],[VALORES]]=0,D105=0,D106=0),"",IF(Tabela4113[[#This Row],[PERCENTUAL EM RELAÇÃO A MÉDIA DOS DEMAIS PREÇOS ]]&lt;LIM_INF,"INEXEQUEVEL","VÁLIDO"))))</f>
        <v>VÁLIDO</v>
      </c>
      <c r="J104" s="243" t="str">
        <f>CONCATENATE("&lt;&gt;",Tabela4113[[#This Row],[EMPRESA]])</f>
        <v>&lt;&gt;AUTOENG</v>
      </c>
      <c r="K104" s="214"/>
      <c r="L104" s="244">
        <f t="shared" si="9"/>
        <v>46075</v>
      </c>
      <c r="M104" s="212" t="e">
        <f>IF(L104=#REF!,"",IF((L104-#REF!)&lt;0,ROUNDDOWN(L104-#REF!,0)&amp;" dias","+"&amp;ROUNDDOWN(L104-#REF!,0)&amp;" dias"))</f>
        <v>#REF!</v>
      </c>
    </row>
    <row r="105" spans="1:13" ht="10.5" customHeight="1" thickTop="1" x14ac:dyDescent="0.15">
      <c r="A105" s="215"/>
      <c r="B105" s="248"/>
      <c r="C105" s="249"/>
      <c r="D105" s="250" t="s">
        <v>284</v>
      </c>
      <c r="E105" s="251">
        <f>IFERROR(_xlfn.STDEV.S(Tabela4113[VALORES]),"")</f>
        <v>2.1751858158174282</v>
      </c>
      <c r="F105" s="510" t="s">
        <v>257</v>
      </c>
      <c r="G105" s="511"/>
      <c r="H105" s="511"/>
      <c r="I105" s="512"/>
      <c r="J105" s="214"/>
    </row>
    <row r="106" spans="1:13" x14ac:dyDescent="0.15">
      <c r="A106" s="215"/>
      <c r="B106" s="252"/>
      <c r="C106" s="253"/>
      <c r="D106" s="254" t="s">
        <v>285</v>
      </c>
      <c r="E106" s="272">
        <f>IFERROR(TRUNC(E105/E107,4),"")</f>
        <v>6.1499999999999999E-2</v>
      </c>
      <c r="F106" s="513"/>
      <c r="G106" s="514"/>
      <c r="H106" s="514"/>
      <c r="I106" s="515"/>
      <c r="J106" s="214"/>
    </row>
    <row r="107" spans="1:13" ht="9.75" customHeight="1" x14ac:dyDescent="0.15">
      <c r="A107" s="215"/>
      <c r="B107" s="256"/>
      <c r="C107" s="257"/>
      <c r="D107" s="254" t="s">
        <v>258</v>
      </c>
      <c r="E107" s="258">
        <f>IFERROR(AVERAGE(Tabela4113[VALORES]),"")</f>
        <v>35.346666666666671</v>
      </c>
      <c r="F107" s="504" t="s">
        <v>259</v>
      </c>
      <c r="G107" s="505"/>
      <c r="H107" s="505"/>
      <c r="I107" s="506"/>
      <c r="J107" s="214"/>
    </row>
    <row r="108" spans="1:13" ht="15.75" customHeight="1" thickBot="1" x14ac:dyDescent="0.2">
      <c r="A108" s="215"/>
      <c r="B108" s="259"/>
      <c r="C108" s="260" t="s">
        <v>260</v>
      </c>
      <c r="D108" s="260" t="str">
        <f>CONCATENATE(IF(E106&gt;=25%,"MEDIANA","MÉDIA"))</f>
        <v>MÉDIA</v>
      </c>
      <c r="E108" s="261">
        <f>IFERROR(TRUNC(IF(D108="MEDIANA",MEDIAN(Tabela4113[VALORES]),IF(D108="MÉDIA",AVERAGE(Tabela4113[VALORES]),0)),2),"")</f>
        <v>35.340000000000003</v>
      </c>
      <c r="F108" s="507"/>
      <c r="G108" s="508"/>
      <c r="H108" s="508"/>
      <c r="I108" s="509"/>
      <c r="J108" s="214"/>
    </row>
    <row r="109" spans="1:13" ht="10.5" thickTop="1" x14ac:dyDescent="0.15">
      <c r="A109" s="215"/>
      <c r="D109" s="269"/>
      <c r="E109" s="115"/>
    </row>
    <row r="110" spans="1:13" ht="20.25" thickBot="1" x14ac:dyDescent="0.2">
      <c r="A110" s="215"/>
      <c r="B110" s="270" t="s">
        <v>270</v>
      </c>
      <c r="C110" s="270"/>
      <c r="D110" s="270"/>
      <c r="E110" s="270"/>
      <c r="F110" s="270"/>
      <c r="G110" s="270"/>
      <c r="H110" s="270"/>
      <c r="I110" s="270"/>
      <c r="J110" s="214"/>
    </row>
    <row r="111" spans="1:13" ht="10.5" thickTop="1" x14ac:dyDescent="0.15">
      <c r="A111" s="215"/>
      <c r="B111" s="224"/>
      <c r="C111" s="225" t="s">
        <v>181</v>
      </c>
      <c r="D111" s="225"/>
      <c r="E111" s="226"/>
      <c r="F111" s="227" t="s">
        <v>244</v>
      </c>
      <c r="G111" s="228"/>
      <c r="H111" s="229" t="s">
        <v>245</v>
      </c>
      <c r="I111" s="230"/>
      <c r="J111" s="214"/>
    </row>
    <row r="112" spans="1:13" ht="39" x14ac:dyDescent="0.15">
      <c r="A112" s="215"/>
      <c r="B112" s="231" t="s">
        <v>246</v>
      </c>
      <c r="C112" s="232" t="s">
        <v>247</v>
      </c>
      <c r="D112" s="232" t="s">
        <v>248</v>
      </c>
      <c r="E112" s="233" t="s">
        <v>249</v>
      </c>
      <c r="F112" s="234" t="s">
        <v>250</v>
      </c>
      <c r="G112" s="235" t="s">
        <v>251</v>
      </c>
      <c r="H112" s="234" t="s">
        <v>252</v>
      </c>
      <c r="I112" s="236" t="s">
        <v>253</v>
      </c>
      <c r="J112" s="232" t="s">
        <v>261</v>
      </c>
      <c r="K112" s="214"/>
    </row>
    <row r="113" spans="1:13" x14ac:dyDescent="0.15">
      <c r="A113" s="215"/>
      <c r="B113" s="237">
        <v>45894</v>
      </c>
      <c r="C113" s="232" t="s">
        <v>254</v>
      </c>
      <c r="D113" s="238">
        <v>165</v>
      </c>
      <c r="E113" s="223">
        <f>IFERROR(AVERAGEIF(Tabela4114[[#All],[EMPRESA]],Tabela4114[[#This Row],[ITEM2]],Tabela4114[[#All],[VALORES]]),"")</f>
        <v>183.565</v>
      </c>
      <c r="F113" s="239">
        <f>IFERROR(Tabela4114[[#This Row],[VALORES]]/Tabela4114[[#This Row],[MÉDIA DOS DEMAIS]]-1,"")</f>
        <v>-0.10113583744177812</v>
      </c>
      <c r="G113" s="240" t="str">
        <f>IF(AND(Tabela4114[[#This Row],[VALORES]]=0,D112=0,D113=0),"",IF(AND(Tabela4114[[#This Row],[VALORES]]=0,D113=0,D114=0),"",IF(AND(Tabela4114[[#This Row],[VALORES]]=0,D114=0,D115=0),"",IF(Tabela4114[[#This Row],[PERCENTUAL EM RELAÇÃO A MÉDIA DOS DEMAIS PREÇOS]]&gt;LIM_SUP,"EXCESSIVAMENTE ELEVADO","VÁLIDO"))))</f>
        <v>VÁLIDO</v>
      </c>
      <c r="H113" s="241">
        <f>IFERROR(Tabela4114[[#This Row],[VALORES]]/Tabela4114[[#This Row],[MÉDIA DOS DEMAIS]],"")</f>
        <v>0.89886416255822188</v>
      </c>
      <c r="I113" s="242" t="str">
        <f>IF(AND(Tabela4114[[#This Row],[VALORES]]=0,D112=0,D113=0),"",IF(AND(Tabela4114[[#This Row],[VALORES]]=0,D113=0,D114=0),"",IF(AND(Tabela4114[[#This Row],[VALORES]]=0,D114=0,D115=0),"",IF(Tabela4114[[#This Row],[PERCENTUAL EM RELAÇÃO A MÉDIA DOS DEMAIS PREÇOS ]]&lt;LIM_INF,"INEXEQUEVEL","VÁLIDO"))))</f>
        <v>VÁLIDO</v>
      </c>
      <c r="J113" s="243" t="str">
        <f>CONCATENATE("&lt;&gt;",Tabela4114[[#This Row],[EMPRESA]])</f>
        <v xml:space="preserve">&lt;&gt;FORTLUX </v>
      </c>
      <c r="K113" s="214"/>
      <c r="L113" s="244">
        <f>B113+180</f>
        <v>46074</v>
      </c>
      <c r="M113" s="212" t="e">
        <f>IF(L113=#REF!,"",IF((L113-#REF!)&lt;0,ROUNDDOWN(L113-#REF!,0)&amp;" dias","+"&amp;ROUNDDOWN(L113-#REF!,0)&amp;" dias"))</f>
        <v>#REF!</v>
      </c>
    </row>
    <row r="114" spans="1:13" x14ac:dyDescent="0.15">
      <c r="A114" s="215"/>
      <c r="B114" s="237">
        <v>45894</v>
      </c>
      <c r="C114" s="232" t="s">
        <v>255</v>
      </c>
      <c r="D114" s="238">
        <v>181.5</v>
      </c>
      <c r="E114" s="223">
        <f>IFERROR(AVERAGEIF(Tabela4114[[#All],[EMPRESA]],Tabela4114[[#This Row],[ITEM2]],Tabela4114[[#All],[VALORES]]),"")</f>
        <v>175.315</v>
      </c>
      <c r="F114" s="245">
        <f>IFERROR(Tabela4114[[#This Row],[VALORES]]/Tabela4114[[#This Row],[MÉDIA DOS DEMAIS]]-1,"")</f>
        <v>3.5279354305107979E-2</v>
      </c>
      <c r="G114" s="246" t="str">
        <f>IF(AND(Tabela4114[[#This Row],[VALORES]]=0,D113=0,D114=0),"",IF(AND(Tabela4114[[#This Row],[VALORES]]=0,D114=0,D115=0),"",IF(AND(Tabela4114[[#This Row],[VALORES]]=0,D115=0,D116=0),"",IF(Tabela4114[[#This Row],[PERCENTUAL EM RELAÇÃO A MÉDIA DOS DEMAIS PREÇOS]]&gt;LIM_SUP,"EXCESSIVAMENTE ELEVADO","VÁLIDO"))))</f>
        <v>VÁLIDO</v>
      </c>
      <c r="H114" s="241">
        <f>IFERROR(Tabela4114[[#This Row],[VALORES]]/Tabela4114[[#This Row],[MÉDIA DOS DEMAIS]],"")</f>
        <v>1.035279354305108</v>
      </c>
      <c r="I114" s="247" t="str">
        <f>IF(AND(Tabela4114[[#This Row],[VALORES]]=0,D113=0,D114=0),"",IF(AND(Tabela4114[[#This Row],[VALORES]]=0,D114=0,D115=0),"",IF(AND(Tabela4114[[#This Row],[VALORES]]=0,D115=0,D116=0),"",IF(Tabela4114[[#This Row],[PERCENTUAL EM RELAÇÃO A MÉDIA DOS DEMAIS PREÇOS ]]&lt;LIM_INF,"INEXEQUEVEL","VÁLIDO"))))</f>
        <v>VÁLIDO</v>
      </c>
      <c r="J114" s="243" t="str">
        <f>CONCATENATE("&lt;&gt;",Tabela4114[[#This Row],[EMPRESA]])</f>
        <v>&lt;&gt;DN DECOR LTDA</v>
      </c>
      <c r="K114" s="214"/>
      <c r="L114" s="244">
        <f t="shared" ref="L114:L115" si="10">B114+180</f>
        <v>46074</v>
      </c>
      <c r="M114" s="212" t="e">
        <f>IF(L114=#REF!,"",IF((L114-#REF!)&lt;0,ROUNDDOWN(L114-#REF!,0)&amp;" dias","+"&amp;ROUNDDOWN(L114-#REF!,0)&amp;" dias"))</f>
        <v>#REF!</v>
      </c>
    </row>
    <row r="115" spans="1:13" ht="10.5" thickBot="1" x14ac:dyDescent="0.2">
      <c r="A115" s="215"/>
      <c r="B115" s="237">
        <v>45895</v>
      </c>
      <c r="C115" s="232" t="s">
        <v>256</v>
      </c>
      <c r="D115" s="238">
        <v>185.63</v>
      </c>
      <c r="E115" s="223">
        <f>IFERROR(AVERAGEIF(Tabela4114[[#All],[EMPRESA]],Tabela4114[[#This Row],[ITEM2]],Tabela4114[[#All],[VALORES]]),"")</f>
        <v>173.25</v>
      </c>
      <c r="F115" s="239">
        <f>IFERROR(Tabela4114[[#This Row],[VALORES]]/Tabela4114[[#This Row],[MÉDIA DOS DEMAIS]]-1,"")</f>
        <v>7.1457431457431442E-2</v>
      </c>
      <c r="G115" s="240" t="str">
        <f>IF(AND(Tabela4114[[#This Row],[VALORES]]=0,D114=0,D115=0),"",IF(AND(Tabela4114[[#This Row],[VALORES]]=0,D115=0,D116=0),"",IF(AND(Tabela4114[[#This Row],[VALORES]]=0,D116=0,D117=0),"",IF(Tabela4114[[#This Row],[PERCENTUAL EM RELAÇÃO A MÉDIA DOS DEMAIS PREÇOS]]&gt;LIM_SUP,"EXCESSIVAMENTE ELEVADO","VÁLIDO"))))</f>
        <v>VÁLIDO</v>
      </c>
      <c r="H115" s="241">
        <f>IFERROR(Tabela4114[[#This Row],[VALORES]]/Tabela4114[[#This Row],[MÉDIA DOS DEMAIS]],"")</f>
        <v>1.0714574314574314</v>
      </c>
      <c r="I115" s="242" t="str">
        <f>IF(AND(Tabela4114[[#This Row],[VALORES]]=0,D114=0,D115=0),"",IF(AND(Tabela4114[[#This Row],[VALORES]]=0,D115=0,D116=0),"",IF(AND(Tabela4114[[#This Row],[VALORES]]=0,D116=0,D117=0),"",IF(Tabela4114[[#This Row],[PERCENTUAL EM RELAÇÃO A MÉDIA DOS DEMAIS PREÇOS ]]&lt;LIM_INF,"INEXEQUEVEL","VÁLIDO"))))</f>
        <v>VÁLIDO</v>
      </c>
      <c r="J115" s="243" t="str">
        <f>CONCATENATE("&lt;&gt;",Tabela4114[[#This Row],[EMPRESA]])</f>
        <v>&lt;&gt;AUTOENG</v>
      </c>
      <c r="K115" s="214"/>
      <c r="L115" s="244">
        <f t="shared" si="10"/>
        <v>46075</v>
      </c>
      <c r="M115" s="212" t="e">
        <f>IF(L115=#REF!,"",IF((L115-#REF!)&lt;0,ROUNDDOWN(L115-#REF!,0)&amp;" dias","+"&amp;ROUNDDOWN(L115-#REF!,0)&amp;" dias"))</f>
        <v>#REF!</v>
      </c>
    </row>
    <row r="116" spans="1:13" ht="10.5" customHeight="1" thickTop="1" x14ac:dyDescent="0.15">
      <c r="A116" s="215"/>
      <c r="B116" s="248"/>
      <c r="C116" s="249"/>
      <c r="D116" s="250" t="s">
        <v>284</v>
      </c>
      <c r="E116" s="251">
        <f>IFERROR(_xlfn.STDEV.S(Tabela4114[VALORES]),"")</f>
        <v>10.915614198630021</v>
      </c>
      <c r="F116" s="510" t="s">
        <v>257</v>
      </c>
      <c r="G116" s="511"/>
      <c r="H116" s="511"/>
      <c r="I116" s="512"/>
      <c r="J116" s="214"/>
    </row>
    <row r="117" spans="1:13" x14ac:dyDescent="0.15">
      <c r="A117" s="215"/>
      <c r="B117" s="252"/>
      <c r="C117" s="253"/>
      <c r="D117" s="254" t="s">
        <v>285</v>
      </c>
      <c r="E117" s="272">
        <f>IFERROR(TRUNC(E116/E118,4),"")</f>
        <v>6.1499999999999999E-2</v>
      </c>
      <c r="F117" s="513"/>
      <c r="G117" s="514"/>
      <c r="H117" s="514"/>
      <c r="I117" s="515"/>
      <c r="J117" s="214"/>
    </row>
    <row r="118" spans="1:13" ht="9.75" customHeight="1" x14ac:dyDescent="0.15">
      <c r="A118" s="215"/>
      <c r="B118" s="256"/>
      <c r="C118" s="257"/>
      <c r="D118" s="254" t="s">
        <v>258</v>
      </c>
      <c r="E118" s="258">
        <f>IFERROR(AVERAGE(Tabela4114[VALORES]),"")</f>
        <v>177.37666666666667</v>
      </c>
      <c r="F118" s="504" t="s">
        <v>259</v>
      </c>
      <c r="G118" s="505"/>
      <c r="H118" s="505"/>
      <c r="I118" s="506"/>
      <c r="J118" s="214"/>
    </row>
    <row r="119" spans="1:13" ht="15.75" customHeight="1" thickBot="1" x14ac:dyDescent="0.2">
      <c r="A119" s="215"/>
      <c r="B119" s="259"/>
      <c r="C119" s="260" t="s">
        <v>260</v>
      </c>
      <c r="D119" s="260" t="str">
        <f>CONCATENATE(IF(E117&gt;=25%,"MEDIANA","MÉDIA"))</f>
        <v>MÉDIA</v>
      </c>
      <c r="E119" s="261">
        <f>IFERROR(TRUNC(IF(D119="MEDIANA",MEDIAN(Tabela4114[VALORES]),IF(D119="MÉDIA",AVERAGE(Tabela4114[VALORES]),0)),2),"")</f>
        <v>177.37</v>
      </c>
      <c r="F119" s="507"/>
      <c r="G119" s="508"/>
      <c r="H119" s="508"/>
      <c r="I119" s="509"/>
      <c r="J119" s="214"/>
    </row>
    <row r="120" spans="1:13" ht="10.5" thickTop="1" x14ac:dyDescent="0.15">
      <c r="A120" s="215"/>
      <c r="D120" s="269"/>
      <c r="E120" s="115"/>
    </row>
    <row r="121" spans="1:13" ht="10.5" customHeight="1" thickBot="1" x14ac:dyDescent="0.2">
      <c r="A121" s="215"/>
      <c r="B121" s="271" t="s">
        <v>271</v>
      </c>
      <c r="C121" s="270"/>
      <c r="D121" s="270"/>
      <c r="E121" s="270"/>
      <c r="F121" s="270"/>
      <c r="G121" s="270"/>
      <c r="H121" s="270"/>
      <c r="I121" s="270"/>
      <c r="J121" s="214"/>
    </row>
    <row r="122" spans="1:13" ht="10.5" thickTop="1" x14ac:dyDescent="0.15">
      <c r="A122" s="215"/>
      <c r="B122" s="224"/>
      <c r="C122" s="225" t="s">
        <v>181</v>
      </c>
      <c r="D122" s="225"/>
      <c r="E122" s="226"/>
      <c r="F122" s="227" t="s">
        <v>244</v>
      </c>
      <c r="G122" s="228"/>
      <c r="H122" s="229" t="s">
        <v>245</v>
      </c>
      <c r="I122" s="230"/>
      <c r="J122" s="214"/>
    </row>
    <row r="123" spans="1:13" ht="39" x14ac:dyDescent="0.15">
      <c r="A123" s="215"/>
      <c r="B123" s="231" t="s">
        <v>246</v>
      </c>
      <c r="C123" s="232" t="s">
        <v>247</v>
      </c>
      <c r="D123" s="232" t="s">
        <v>248</v>
      </c>
      <c r="E123" s="233" t="s">
        <v>249</v>
      </c>
      <c r="F123" s="234" t="s">
        <v>250</v>
      </c>
      <c r="G123" s="235" t="s">
        <v>251</v>
      </c>
      <c r="H123" s="234" t="s">
        <v>252</v>
      </c>
      <c r="I123" s="236" t="s">
        <v>253</v>
      </c>
      <c r="J123" s="232" t="s">
        <v>261</v>
      </c>
      <c r="K123" s="214"/>
    </row>
    <row r="124" spans="1:13" x14ac:dyDescent="0.15">
      <c r="A124" s="215"/>
      <c r="B124" s="237">
        <v>45894</v>
      </c>
      <c r="C124" s="232" t="s">
        <v>254</v>
      </c>
      <c r="D124" s="238">
        <v>150</v>
      </c>
      <c r="E124" s="223">
        <f>IFERROR(AVERAGEIF(Tabela4115[[#All],[EMPRESA]],Tabela4115[[#This Row],[ITEM2]],Tabela4115[[#All],[VALORES]]),"")</f>
        <v>166.875</v>
      </c>
      <c r="F124" s="239">
        <f>IFERROR(Tabela4115[[#This Row],[VALORES]]/Tabela4115[[#This Row],[MÉDIA DOS DEMAIS]]-1,"")</f>
        <v>-0.101123595505618</v>
      </c>
      <c r="G124" s="240" t="str">
        <f>IF(AND(Tabela4115[[#This Row],[VALORES]]=0,D123=0,D124=0),"",IF(AND(Tabela4115[[#This Row],[VALORES]]=0,D124=0,D125=0),"",IF(AND(Tabela4115[[#This Row],[VALORES]]=0,D125=0,D126=0),"",IF(Tabela4115[[#This Row],[PERCENTUAL EM RELAÇÃO A MÉDIA DOS DEMAIS PREÇOS]]&gt;LIM_SUP,"EXCESSIVAMENTE ELEVADO","VÁLIDO"))))</f>
        <v>VÁLIDO</v>
      </c>
      <c r="H124" s="241">
        <f>IFERROR(Tabela4115[[#This Row],[VALORES]]/Tabela4115[[#This Row],[MÉDIA DOS DEMAIS]],"")</f>
        <v>0.898876404494382</v>
      </c>
      <c r="I124" s="242" t="str">
        <f>IF(AND(Tabela4115[[#This Row],[VALORES]]=0,D123=0,D124=0),"",IF(AND(Tabela4115[[#This Row],[VALORES]]=0,D124=0,D125=0),"",IF(AND(Tabela4115[[#This Row],[VALORES]]=0,D125=0,D126=0),"",IF(Tabela4115[[#This Row],[PERCENTUAL EM RELAÇÃO A MÉDIA DOS DEMAIS PREÇOS ]]&lt;LIM_INF,"INEXEQUEVEL","VÁLIDO"))))</f>
        <v>VÁLIDO</v>
      </c>
      <c r="J124" s="243" t="str">
        <f>CONCATENATE("&lt;&gt;",Tabela4115[[#This Row],[EMPRESA]])</f>
        <v xml:space="preserve">&lt;&gt;FORTLUX </v>
      </c>
      <c r="K124" s="214"/>
      <c r="L124" s="244">
        <f>B124+180</f>
        <v>46074</v>
      </c>
      <c r="M124" s="212" t="e">
        <f>IF(L124=#REF!,"",IF((L124-#REF!)&lt;0,ROUNDDOWN(L124-#REF!,0)&amp;" dias","+"&amp;ROUNDDOWN(L124-#REF!,0)&amp;" dias"))</f>
        <v>#REF!</v>
      </c>
    </row>
    <row r="125" spans="1:13" x14ac:dyDescent="0.15">
      <c r="A125" s="215"/>
      <c r="B125" s="237">
        <v>45894</v>
      </c>
      <c r="C125" s="232" t="s">
        <v>255</v>
      </c>
      <c r="D125" s="238">
        <v>165</v>
      </c>
      <c r="E125" s="223">
        <f>IFERROR(AVERAGEIF(Tabela4115[[#All],[EMPRESA]],Tabela4115[[#This Row],[ITEM2]],Tabela4115[[#All],[VALORES]]),"")</f>
        <v>159.375</v>
      </c>
      <c r="F125" s="245">
        <f>IFERROR(Tabela4115[[#This Row],[VALORES]]/Tabela4115[[#This Row],[MÉDIA DOS DEMAIS]]-1,"")</f>
        <v>3.529411764705892E-2</v>
      </c>
      <c r="G125" s="246" t="str">
        <f>IF(AND(Tabela4115[[#This Row],[VALORES]]=0,D124=0,D125=0),"",IF(AND(Tabela4115[[#This Row],[VALORES]]=0,D125=0,D126=0),"",IF(AND(Tabela4115[[#This Row],[VALORES]]=0,D126=0,D127=0),"",IF(Tabela4115[[#This Row],[PERCENTUAL EM RELAÇÃO A MÉDIA DOS DEMAIS PREÇOS]]&gt;LIM_SUP,"EXCESSIVAMENTE ELEVADO","VÁLIDO"))))</f>
        <v>VÁLIDO</v>
      </c>
      <c r="H125" s="241">
        <f>IFERROR(Tabela4115[[#This Row],[VALORES]]/Tabela4115[[#This Row],[MÉDIA DOS DEMAIS]],"")</f>
        <v>1.0352941176470589</v>
      </c>
      <c r="I125" s="247" t="str">
        <f>IF(AND(Tabela4115[[#This Row],[VALORES]]=0,D124=0,D125=0),"",IF(AND(Tabela4115[[#This Row],[VALORES]]=0,D125=0,D126=0),"",IF(AND(Tabela4115[[#This Row],[VALORES]]=0,D126=0,D127=0),"",IF(Tabela4115[[#This Row],[PERCENTUAL EM RELAÇÃO A MÉDIA DOS DEMAIS PREÇOS ]]&lt;LIM_INF,"INEXEQUEVEL","VÁLIDO"))))</f>
        <v>VÁLIDO</v>
      </c>
      <c r="J125" s="243" t="str">
        <f>CONCATENATE("&lt;&gt;",Tabela4115[[#This Row],[EMPRESA]])</f>
        <v>&lt;&gt;DN DECOR LTDA</v>
      </c>
      <c r="K125" s="214"/>
      <c r="L125" s="244">
        <f t="shared" ref="L125:L126" si="11">B125+180</f>
        <v>46074</v>
      </c>
      <c r="M125" s="212" t="e">
        <f>IF(L125=#REF!,"",IF((L125-#REF!)&lt;0,ROUNDDOWN(L125-#REF!,0)&amp;" dias","+"&amp;ROUNDDOWN(L125-#REF!,0)&amp;" dias"))</f>
        <v>#REF!</v>
      </c>
    </row>
    <row r="126" spans="1:13" ht="10.5" thickBot="1" x14ac:dyDescent="0.2">
      <c r="A126" s="215"/>
      <c r="B126" s="237">
        <v>45895</v>
      </c>
      <c r="C126" s="232" t="s">
        <v>256</v>
      </c>
      <c r="D126" s="238">
        <v>168.75</v>
      </c>
      <c r="E126" s="223">
        <f>IFERROR(AVERAGEIF(Tabela4115[[#All],[EMPRESA]],Tabela4115[[#This Row],[ITEM2]],Tabela4115[[#All],[VALORES]]),"")</f>
        <v>157.5</v>
      </c>
      <c r="F126" s="239">
        <f>IFERROR(Tabela4115[[#This Row],[VALORES]]/Tabela4115[[#This Row],[MÉDIA DOS DEMAIS]]-1,"")</f>
        <v>7.1428571428571397E-2</v>
      </c>
      <c r="G126" s="240" t="str">
        <f>IF(AND(Tabela4115[[#This Row],[VALORES]]=0,D125=0,D126=0),"",IF(AND(Tabela4115[[#This Row],[VALORES]]=0,D126=0,D127=0),"",IF(AND(Tabela4115[[#This Row],[VALORES]]=0,D127=0,D128=0),"",IF(Tabela4115[[#This Row],[PERCENTUAL EM RELAÇÃO A MÉDIA DOS DEMAIS PREÇOS]]&gt;LIM_SUP,"EXCESSIVAMENTE ELEVADO","VÁLIDO"))))</f>
        <v>VÁLIDO</v>
      </c>
      <c r="H126" s="241">
        <f>IFERROR(Tabela4115[[#This Row],[VALORES]]/Tabela4115[[#This Row],[MÉDIA DOS DEMAIS]],"")</f>
        <v>1.0714285714285714</v>
      </c>
      <c r="I126" s="242" t="str">
        <f>IF(AND(Tabela4115[[#This Row],[VALORES]]=0,D125=0,D126=0),"",IF(AND(Tabela4115[[#This Row],[VALORES]]=0,D126=0,D127=0),"",IF(AND(Tabela4115[[#This Row],[VALORES]]=0,D127=0,D128=0),"",IF(Tabela4115[[#This Row],[PERCENTUAL EM RELAÇÃO A MÉDIA DOS DEMAIS PREÇOS ]]&lt;LIM_INF,"INEXEQUEVEL","VÁLIDO"))))</f>
        <v>VÁLIDO</v>
      </c>
      <c r="J126" s="243" t="str">
        <f>CONCATENATE("&lt;&gt;",Tabela4115[[#This Row],[EMPRESA]])</f>
        <v>&lt;&gt;AUTOENG</v>
      </c>
      <c r="K126" s="214"/>
      <c r="L126" s="244">
        <f t="shared" si="11"/>
        <v>46075</v>
      </c>
      <c r="M126" s="212" t="e">
        <f>IF(L126=#REF!,"",IF((L126-#REF!)&lt;0,ROUNDDOWN(L126-#REF!,0)&amp;" dias","+"&amp;ROUNDDOWN(L126-#REF!,0)&amp;" dias"))</f>
        <v>#REF!</v>
      </c>
    </row>
    <row r="127" spans="1:13" ht="10.5" customHeight="1" thickTop="1" x14ac:dyDescent="0.15">
      <c r="A127" s="215"/>
      <c r="B127" s="248"/>
      <c r="C127" s="249"/>
      <c r="D127" s="250" t="s">
        <v>284</v>
      </c>
      <c r="E127" s="251">
        <f>IFERROR(_xlfn.STDEV.S(Tabela4115[VALORES]),"")</f>
        <v>9.9215674164922145</v>
      </c>
      <c r="F127" s="510" t="s">
        <v>257</v>
      </c>
      <c r="G127" s="511"/>
      <c r="H127" s="511"/>
      <c r="I127" s="512"/>
      <c r="J127" s="214"/>
    </row>
    <row r="128" spans="1:13" x14ac:dyDescent="0.15">
      <c r="A128" s="215"/>
      <c r="B128" s="252"/>
      <c r="C128" s="253"/>
      <c r="D128" s="254" t="s">
        <v>285</v>
      </c>
      <c r="E128" s="272">
        <f>IFERROR(TRUNC(E127/E129,4),"")</f>
        <v>6.1499999999999999E-2</v>
      </c>
      <c r="F128" s="513"/>
      <c r="G128" s="514"/>
      <c r="H128" s="514"/>
      <c r="I128" s="515"/>
      <c r="J128" s="214"/>
    </row>
    <row r="129" spans="1:13" ht="9.75" customHeight="1" x14ac:dyDescent="0.15">
      <c r="A129" s="215"/>
      <c r="B129" s="256"/>
      <c r="C129" s="257"/>
      <c r="D129" s="254" t="s">
        <v>258</v>
      </c>
      <c r="E129" s="258">
        <f>IFERROR(AVERAGE(Tabela4115[VALORES]),"")</f>
        <v>161.25</v>
      </c>
      <c r="F129" s="504" t="s">
        <v>259</v>
      </c>
      <c r="G129" s="505"/>
      <c r="H129" s="505"/>
      <c r="I129" s="506"/>
      <c r="J129" s="214"/>
    </row>
    <row r="130" spans="1:13" ht="15.75" customHeight="1" thickBot="1" x14ac:dyDescent="0.2">
      <c r="A130" s="215"/>
      <c r="B130" s="259"/>
      <c r="C130" s="260" t="s">
        <v>260</v>
      </c>
      <c r="D130" s="260" t="str">
        <f>CONCATENATE(IF(E128&gt;=25%,"MEDIANA","MÉDIA"))</f>
        <v>MÉDIA</v>
      </c>
      <c r="E130" s="260">
        <f>IFERROR(TRUNC(IF(D130="MEDIANA",MEDIAN(Tabela4115[VALORES]),IF(D130="MÉDIA",AVERAGE(Tabela4115[VALORES]),0)),2),"")</f>
        <v>161.25</v>
      </c>
      <c r="F130" s="507"/>
      <c r="G130" s="508"/>
      <c r="H130" s="508"/>
      <c r="I130" s="509"/>
      <c r="J130" s="214"/>
    </row>
    <row r="131" spans="1:13" ht="10.5" thickTop="1" x14ac:dyDescent="0.15">
      <c r="A131" s="215"/>
      <c r="D131" s="269"/>
      <c r="E131" s="115"/>
      <c r="F131" s="115"/>
    </row>
    <row r="132" spans="1:13" ht="10.5" customHeight="1" thickBot="1" x14ac:dyDescent="0.2">
      <c r="A132" s="215"/>
      <c r="B132" s="271" t="s">
        <v>272</v>
      </c>
      <c r="C132" s="270"/>
      <c r="D132" s="270"/>
      <c r="E132" s="270"/>
      <c r="F132" s="270"/>
      <c r="G132" s="270"/>
      <c r="H132" s="270"/>
      <c r="I132" s="270"/>
      <c r="J132" s="214"/>
    </row>
    <row r="133" spans="1:13" ht="10.5" thickTop="1" x14ac:dyDescent="0.15">
      <c r="A133" s="215"/>
      <c r="B133" s="224"/>
      <c r="C133" s="225" t="s">
        <v>181</v>
      </c>
      <c r="D133" s="225"/>
      <c r="E133" s="226"/>
      <c r="F133" s="227" t="s">
        <v>244</v>
      </c>
      <c r="G133" s="228"/>
      <c r="H133" s="229" t="s">
        <v>245</v>
      </c>
      <c r="I133" s="230"/>
      <c r="J133" s="214"/>
    </row>
    <row r="134" spans="1:13" ht="39" x14ac:dyDescent="0.15">
      <c r="A134" s="215"/>
      <c r="B134" s="231" t="s">
        <v>246</v>
      </c>
      <c r="C134" s="232" t="s">
        <v>247</v>
      </c>
      <c r="D134" s="232" t="s">
        <v>248</v>
      </c>
      <c r="E134" s="233" t="s">
        <v>249</v>
      </c>
      <c r="F134" s="234" t="s">
        <v>250</v>
      </c>
      <c r="G134" s="235" t="s">
        <v>251</v>
      </c>
      <c r="H134" s="234" t="s">
        <v>252</v>
      </c>
      <c r="I134" s="236" t="s">
        <v>253</v>
      </c>
      <c r="J134" s="232" t="s">
        <v>261</v>
      </c>
      <c r="K134" s="214"/>
    </row>
    <row r="135" spans="1:13" x14ac:dyDescent="0.15">
      <c r="A135" s="215"/>
      <c r="B135" s="237">
        <v>45894</v>
      </c>
      <c r="C135" s="232" t="s">
        <v>254</v>
      </c>
      <c r="D135" s="238">
        <v>160</v>
      </c>
      <c r="E135" s="223">
        <f>IFERROR(AVERAGEIF(Tabela4116[[#All],[EMPRESA]],Tabela4116[[#This Row],[ITEM2]],Tabela4116[[#All],[VALORES]]),"")</f>
        <v>178</v>
      </c>
      <c r="F135" s="239">
        <f>IFERROR(Tabela4116[[#This Row],[VALORES]]/Tabela4116[[#This Row],[MÉDIA DOS DEMAIS]]-1,"")</f>
        <v>-0.101123595505618</v>
      </c>
      <c r="G135" s="240" t="str">
        <f>IF(AND(Tabela4116[[#This Row],[VALORES]]=0,D134=0,D135=0),"",IF(AND(Tabela4116[[#This Row],[VALORES]]=0,D135=0,D136=0),"",IF(AND(Tabela4116[[#This Row],[VALORES]]=0,D136=0,D137=0),"",IF(Tabela4116[[#This Row],[PERCENTUAL EM RELAÇÃO A MÉDIA DOS DEMAIS PREÇOS]]&gt;LIM_SUP,"EXCESSIVAMENTE ELEVADO","VÁLIDO"))))</f>
        <v>VÁLIDO</v>
      </c>
      <c r="H135" s="241">
        <f>IFERROR(Tabela4116[[#This Row],[VALORES]]/Tabela4116[[#This Row],[MÉDIA DOS DEMAIS]],"")</f>
        <v>0.898876404494382</v>
      </c>
      <c r="I135" s="242" t="str">
        <f>IF(AND(Tabela4116[[#This Row],[VALORES]]=0,D134=0,D135=0),"",IF(AND(Tabela4116[[#This Row],[VALORES]]=0,D135=0,D136=0),"",IF(AND(Tabela4116[[#This Row],[VALORES]]=0,D136=0,D137=0),"",IF(Tabela4116[[#This Row],[PERCENTUAL EM RELAÇÃO A MÉDIA DOS DEMAIS PREÇOS ]]&lt;LIM_INF,"INEXEQUEVEL","VÁLIDO"))))</f>
        <v>VÁLIDO</v>
      </c>
      <c r="J135" s="243" t="str">
        <f>CONCATENATE("&lt;&gt;",Tabela4116[[#This Row],[EMPRESA]])</f>
        <v xml:space="preserve">&lt;&gt;FORTLUX </v>
      </c>
      <c r="K135" s="214"/>
      <c r="L135" s="244">
        <f>B135+180</f>
        <v>46074</v>
      </c>
      <c r="M135" s="212" t="e">
        <f>IF(L135=#REF!,"",IF((L135-#REF!)&lt;0,ROUNDDOWN(L135-#REF!,0)&amp;" dias","+"&amp;ROUNDDOWN(L135-#REF!,0)&amp;" dias"))</f>
        <v>#REF!</v>
      </c>
    </row>
    <row r="136" spans="1:13" x14ac:dyDescent="0.15">
      <c r="A136" s="215"/>
      <c r="B136" s="237">
        <v>45894</v>
      </c>
      <c r="C136" s="232" t="s">
        <v>255</v>
      </c>
      <c r="D136" s="238">
        <v>176</v>
      </c>
      <c r="E136" s="223">
        <f>IFERROR(AVERAGEIF(Tabela4116[[#All],[EMPRESA]],Tabela4116[[#This Row],[ITEM2]],Tabela4116[[#All],[VALORES]]),"")</f>
        <v>170</v>
      </c>
      <c r="F136" s="245">
        <f>IFERROR(Tabela4116[[#This Row],[VALORES]]/Tabela4116[[#This Row],[MÉDIA DOS DEMAIS]]-1,"")</f>
        <v>3.529411764705892E-2</v>
      </c>
      <c r="G136" s="246" t="str">
        <f>IF(AND(Tabela4116[[#This Row],[VALORES]]=0,D135=0,D136=0),"",IF(AND(Tabela4116[[#This Row],[VALORES]]=0,D136=0,D137=0),"",IF(AND(Tabela4116[[#This Row],[VALORES]]=0,D137=0,D138=0),"",IF(Tabela4116[[#This Row],[PERCENTUAL EM RELAÇÃO A MÉDIA DOS DEMAIS PREÇOS]]&gt;LIM_SUP,"EXCESSIVAMENTE ELEVADO","VÁLIDO"))))</f>
        <v>VÁLIDO</v>
      </c>
      <c r="H136" s="241">
        <f>IFERROR(Tabela4116[[#This Row],[VALORES]]/Tabela4116[[#This Row],[MÉDIA DOS DEMAIS]],"")</f>
        <v>1.0352941176470589</v>
      </c>
      <c r="I136" s="247" t="str">
        <f>IF(AND(Tabela4116[[#This Row],[VALORES]]=0,D135=0,D136=0),"",IF(AND(Tabela4116[[#This Row],[VALORES]]=0,D136=0,D137=0),"",IF(AND(Tabela4116[[#This Row],[VALORES]]=0,D137=0,D138=0),"",IF(Tabela4116[[#This Row],[PERCENTUAL EM RELAÇÃO A MÉDIA DOS DEMAIS PREÇOS ]]&lt;LIM_INF,"INEXEQUEVEL","VÁLIDO"))))</f>
        <v>VÁLIDO</v>
      </c>
      <c r="J136" s="243" t="str">
        <f>CONCATENATE("&lt;&gt;",Tabela4116[[#This Row],[EMPRESA]])</f>
        <v>&lt;&gt;DN DECOR LTDA</v>
      </c>
      <c r="K136" s="214"/>
      <c r="L136" s="244">
        <f t="shared" ref="L136:L137" si="12">B136+180</f>
        <v>46074</v>
      </c>
      <c r="M136" s="212" t="e">
        <f>IF(L136=#REF!,"",IF((L136-#REF!)&lt;0,ROUNDDOWN(L136-#REF!,0)&amp;" dias","+"&amp;ROUNDDOWN(L136-#REF!,0)&amp;" dias"))</f>
        <v>#REF!</v>
      </c>
    </row>
    <row r="137" spans="1:13" ht="10.5" thickBot="1" x14ac:dyDescent="0.2">
      <c r="A137" s="215"/>
      <c r="B137" s="237">
        <v>45895</v>
      </c>
      <c r="C137" s="232" t="s">
        <v>256</v>
      </c>
      <c r="D137" s="238">
        <v>180</v>
      </c>
      <c r="E137" s="223">
        <f>IFERROR(AVERAGEIF(Tabela4116[[#All],[EMPRESA]],Tabela4116[[#This Row],[ITEM2]],Tabela4116[[#All],[VALORES]]),"")</f>
        <v>168</v>
      </c>
      <c r="F137" s="239">
        <f>IFERROR(Tabela4116[[#This Row],[VALORES]]/Tabela4116[[#This Row],[MÉDIA DOS DEMAIS]]-1,"")</f>
        <v>7.1428571428571397E-2</v>
      </c>
      <c r="G137" s="240" t="str">
        <f>IF(AND(Tabela4116[[#This Row],[VALORES]]=0,D136=0,D137=0),"",IF(AND(Tabela4116[[#This Row],[VALORES]]=0,D137=0,D138=0),"",IF(AND(Tabela4116[[#This Row],[VALORES]]=0,D138=0,D139=0),"",IF(Tabela4116[[#This Row],[PERCENTUAL EM RELAÇÃO A MÉDIA DOS DEMAIS PREÇOS]]&gt;LIM_SUP,"EXCESSIVAMENTE ELEVADO","VÁLIDO"))))</f>
        <v>VÁLIDO</v>
      </c>
      <c r="H137" s="241">
        <f>IFERROR(Tabela4116[[#This Row],[VALORES]]/Tabela4116[[#This Row],[MÉDIA DOS DEMAIS]],"")</f>
        <v>1.0714285714285714</v>
      </c>
      <c r="I137" s="242" t="str">
        <f>IF(AND(Tabela4116[[#This Row],[VALORES]]=0,D136=0,D137=0),"",IF(AND(Tabela4116[[#This Row],[VALORES]]=0,D137=0,D138=0),"",IF(AND(Tabela4116[[#This Row],[VALORES]]=0,D138=0,D139=0),"",IF(Tabela4116[[#This Row],[PERCENTUAL EM RELAÇÃO A MÉDIA DOS DEMAIS PREÇOS ]]&lt;LIM_INF,"INEXEQUEVEL","VÁLIDO"))))</f>
        <v>VÁLIDO</v>
      </c>
      <c r="J137" s="243" t="str">
        <f>CONCATENATE("&lt;&gt;",Tabela4116[[#This Row],[EMPRESA]])</f>
        <v>&lt;&gt;AUTOENG</v>
      </c>
      <c r="K137" s="214"/>
      <c r="L137" s="244">
        <f t="shared" si="12"/>
        <v>46075</v>
      </c>
      <c r="M137" s="212" t="e">
        <f>IF(L137=#REF!,"",IF((L137-#REF!)&lt;0,ROUNDDOWN(L137-#REF!,0)&amp;" dias","+"&amp;ROUNDDOWN(L137-#REF!,0)&amp;" dias"))</f>
        <v>#REF!</v>
      </c>
    </row>
    <row r="138" spans="1:13" ht="10.5" customHeight="1" thickTop="1" x14ac:dyDescent="0.15">
      <c r="A138" s="215"/>
      <c r="B138" s="248"/>
      <c r="C138" s="249"/>
      <c r="D138" s="250" t="s">
        <v>284</v>
      </c>
      <c r="E138" s="251">
        <f>IFERROR(_xlfn.STDEV.S(Tabela4116[VALORES]),"")</f>
        <v>10.583005244258363</v>
      </c>
      <c r="F138" s="510" t="s">
        <v>257</v>
      </c>
      <c r="G138" s="511"/>
      <c r="H138" s="511"/>
      <c r="I138" s="512"/>
      <c r="J138" s="214"/>
    </row>
    <row r="139" spans="1:13" x14ac:dyDescent="0.15">
      <c r="A139" s="215"/>
      <c r="B139" s="252"/>
      <c r="C139" s="253"/>
      <c r="D139" s="254" t="s">
        <v>285</v>
      </c>
      <c r="E139" s="272">
        <f>IFERROR(TRUNC(E138/E140,4),"")</f>
        <v>6.1499999999999999E-2</v>
      </c>
      <c r="F139" s="513"/>
      <c r="G139" s="514"/>
      <c r="H139" s="514"/>
      <c r="I139" s="515"/>
      <c r="J139" s="214"/>
    </row>
    <row r="140" spans="1:13" ht="9.75" customHeight="1" x14ac:dyDescent="0.15">
      <c r="A140" s="215"/>
      <c r="B140" s="256"/>
      <c r="C140" s="257"/>
      <c r="D140" s="254" t="s">
        <v>258</v>
      </c>
      <c r="E140" s="258">
        <f>IFERROR(AVERAGE(Tabela4116[VALORES]),"")</f>
        <v>172</v>
      </c>
      <c r="F140" s="504" t="s">
        <v>259</v>
      </c>
      <c r="G140" s="505"/>
      <c r="H140" s="505"/>
      <c r="I140" s="506"/>
      <c r="J140" s="214"/>
    </row>
    <row r="141" spans="1:13" ht="15.75" customHeight="1" thickBot="1" x14ac:dyDescent="0.2">
      <c r="A141" s="215"/>
      <c r="B141" s="259"/>
      <c r="C141" s="260" t="s">
        <v>260</v>
      </c>
      <c r="D141" s="260" t="str">
        <f>CONCATENATE(IF(E139&gt;=25%,"MEDIANA","MÉDIA"))</f>
        <v>MÉDIA</v>
      </c>
      <c r="E141" s="261">
        <f>IFERROR(TRUNC(IF(D141="MEDIANA",MEDIAN(Tabela4116[VALORES]),IF(D141="MÉDIA",AVERAGE(Tabela4116[VALORES]),0)),2),"")</f>
        <v>172</v>
      </c>
      <c r="F141" s="507"/>
      <c r="G141" s="508"/>
      <c r="H141" s="508"/>
      <c r="I141" s="509"/>
      <c r="J141" s="214"/>
    </row>
    <row r="142" spans="1:13" ht="10.5" hidden="1" thickTop="1" x14ac:dyDescent="0.15">
      <c r="A142" s="215"/>
      <c r="D142" s="266"/>
      <c r="E142" s="267"/>
    </row>
    <row r="143" spans="1:13" ht="10.5" hidden="1" thickBot="1" x14ac:dyDescent="0.2">
      <c r="A143" s="215"/>
      <c r="B143" s="264" t="s">
        <v>243</v>
      </c>
      <c r="C143" s="526" t="s">
        <v>286</v>
      </c>
      <c r="D143" s="526"/>
      <c r="E143" s="526"/>
      <c r="F143" s="526"/>
      <c r="G143" s="265"/>
      <c r="H143" s="265"/>
      <c r="I143" s="265"/>
      <c r="J143" s="214"/>
    </row>
    <row r="144" spans="1:13" ht="10.5" hidden="1" thickTop="1" x14ac:dyDescent="0.15">
      <c r="A144" s="215"/>
      <c r="B144" s="224"/>
      <c r="C144" s="225" t="s">
        <v>181</v>
      </c>
      <c r="D144" s="225"/>
      <c r="E144" s="226"/>
      <c r="F144" s="227" t="s">
        <v>244</v>
      </c>
      <c r="G144" s="228"/>
      <c r="H144" s="229" t="s">
        <v>245</v>
      </c>
      <c r="I144" s="230"/>
      <c r="J144" s="214"/>
    </row>
    <row r="145" spans="1:13" ht="39" hidden="1" x14ac:dyDescent="0.15">
      <c r="A145" s="215"/>
      <c r="B145" s="231" t="s">
        <v>246</v>
      </c>
      <c r="C145" s="232" t="s">
        <v>247</v>
      </c>
      <c r="D145" s="232" t="s">
        <v>248</v>
      </c>
      <c r="E145" s="233" t="s">
        <v>249</v>
      </c>
      <c r="F145" s="234" t="s">
        <v>250</v>
      </c>
      <c r="G145" s="235" t="s">
        <v>251</v>
      </c>
      <c r="H145" s="234" t="s">
        <v>252</v>
      </c>
      <c r="I145" s="236" t="s">
        <v>253</v>
      </c>
      <c r="J145" s="232" t="s">
        <v>261</v>
      </c>
      <c r="K145" s="214"/>
    </row>
    <row r="146" spans="1:13" hidden="1" x14ac:dyDescent="0.15">
      <c r="A146" s="215"/>
      <c r="B146" s="237"/>
      <c r="C146" s="232"/>
      <c r="D146" s="238"/>
      <c r="E146" s="223" t="str">
        <f>IFERROR(AVERAGEIF(Tabela4117[[#All],[EMPRESA]],Tabela4117[[#This Row],[ITEM2]],Tabela4117[[#All],[VALORES]]),"")</f>
        <v/>
      </c>
      <c r="F146" s="239" t="str">
        <f>IFERROR(Tabela4117[[#This Row],[VALORES]]/Tabela4117[[#This Row],[MÉDIA DOS DEMAIS]]-1,"")</f>
        <v/>
      </c>
      <c r="G146" s="240" t="str">
        <f>IF(AND(Tabela4117[[#This Row],[VALORES]]=0,D145=0,D146=0),"",IF(AND(Tabela4117[[#This Row],[VALORES]]=0,D146=0,D147=0),"",IF(AND(Tabela4117[[#This Row],[VALORES]]=0,D147=0,D148=0),"",IF(Tabela4117[[#This Row],[PERCENTUAL EM RELAÇÃO A MÉDIA DOS DEMAIS PREÇOS]]&gt;LIM_SUP,"EXCESSIVAMENTE ELEVADO","VÁLIDO"))))</f>
        <v/>
      </c>
      <c r="H146" s="241" t="str">
        <f>IFERROR(Tabela4117[[#This Row],[VALORES]]/Tabela4117[[#This Row],[MÉDIA DOS DEMAIS]],"")</f>
        <v/>
      </c>
      <c r="I146" s="242" t="str">
        <f>IF(AND(Tabela4117[[#This Row],[VALORES]]=0,D145=0,D146=0),"",IF(AND(Tabela4117[[#This Row],[VALORES]]=0,D146=0,D147=0),"",IF(AND(Tabela4117[[#This Row],[VALORES]]=0,D147=0,D148=0),"",IF(Tabela4117[[#This Row],[PERCENTUAL EM RELAÇÃO A MÉDIA DOS DEMAIS PREÇOS ]]&lt;LIM_INF,"INEXEQUEVEL","VÁLIDO"))))</f>
        <v/>
      </c>
      <c r="J146" s="243" t="str">
        <f>CONCATENATE("&lt;&gt;",Tabela4117[[#This Row],[EMPRESA]])</f>
        <v>&lt;&gt;</v>
      </c>
      <c r="K146" s="214"/>
      <c r="L146" s="244">
        <f>B146+180</f>
        <v>180</v>
      </c>
      <c r="M146" s="212" t="e">
        <f>IF(L146=#REF!,"",IF((L146-#REF!)&lt;0,ROUNDDOWN(L146-#REF!,0)&amp;" dias","+"&amp;ROUNDDOWN(L146-#REF!,0)&amp;" dias"))</f>
        <v>#REF!</v>
      </c>
    </row>
    <row r="147" spans="1:13" hidden="1" x14ac:dyDescent="0.15">
      <c r="A147" s="215"/>
      <c r="B147" s="237"/>
      <c r="C147" s="232"/>
      <c r="D147" s="238"/>
      <c r="E147" s="223" t="str">
        <f>IFERROR(AVERAGEIF(Tabela4117[[#All],[EMPRESA]],Tabela4117[[#This Row],[ITEM2]],Tabela4117[[#All],[VALORES]]),"")</f>
        <v/>
      </c>
      <c r="F147" s="245" t="str">
        <f>IFERROR(Tabela4117[[#This Row],[VALORES]]/Tabela4117[[#This Row],[MÉDIA DOS DEMAIS]]-1,"")</f>
        <v/>
      </c>
      <c r="G147" s="246" t="str">
        <f>IF(AND(Tabela4117[[#This Row],[VALORES]]=0,D146=0,D147=0),"",IF(AND(Tabela4117[[#This Row],[VALORES]]=0,D147=0,D148=0),"",IF(AND(Tabela4117[[#This Row],[VALORES]]=0,D148=0,D149=0),"",IF(Tabela4117[[#This Row],[PERCENTUAL EM RELAÇÃO A MÉDIA DOS DEMAIS PREÇOS]]&gt;LIM_SUP,"EXCESSIVAMENTE ELEVADO","VÁLIDO"))))</f>
        <v/>
      </c>
      <c r="H147" s="241" t="str">
        <f>IFERROR(Tabela4117[[#This Row],[VALORES]]/Tabela4117[[#This Row],[MÉDIA DOS DEMAIS]],"")</f>
        <v/>
      </c>
      <c r="I147" s="247" t="str">
        <f>IF(AND(Tabela4117[[#This Row],[VALORES]]=0,D146=0,D147=0),"",IF(AND(Tabela4117[[#This Row],[VALORES]]=0,D147=0,D148=0),"",IF(AND(Tabela4117[[#This Row],[VALORES]]=0,D148=0,D149=0),"",IF(Tabela4117[[#This Row],[PERCENTUAL EM RELAÇÃO A MÉDIA DOS DEMAIS PREÇOS ]]&lt;LIM_INF,"INEXEQUEVEL","VÁLIDO"))))</f>
        <v/>
      </c>
      <c r="J147" s="243" t="str">
        <f>CONCATENATE("&lt;&gt;",Tabela4117[[#This Row],[EMPRESA]])</f>
        <v>&lt;&gt;</v>
      </c>
      <c r="K147" s="214"/>
      <c r="L147" s="244">
        <f t="shared" ref="L147:L148" si="13">B147+180</f>
        <v>180</v>
      </c>
      <c r="M147" s="212" t="e">
        <f>IF(L147=#REF!,"",IF((L147-#REF!)&lt;0,ROUNDDOWN(L147-#REF!,0)&amp;" dias","+"&amp;ROUNDDOWN(L147-#REF!,0)&amp;" dias"))</f>
        <v>#REF!</v>
      </c>
    </row>
    <row r="148" spans="1:13" ht="10.5" hidden="1" thickBot="1" x14ac:dyDescent="0.2">
      <c r="A148" s="215"/>
      <c r="B148" s="237"/>
      <c r="C148" s="232"/>
      <c r="D148" s="238"/>
      <c r="E148" s="223" t="str">
        <f>IFERROR(AVERAGEIF(Tabela4117[[#All],[EMPRESA]],Tabela4117[[#This Row],[ITEM2]],Tabela4117[[#All],[VALORES]]),"")</f>
        <v/>
      </c>
      <c r="F148" s="239" t="str">
        <f>IFERROR(Tabela4117[[#This Row],[VALORES]]/Tabela4117[[#This Row],[MÉDIA DOS DEMAIS]]-1,"")</f>
        <v/>
      </c>
      <c r="G148" s="240" t="str">
        <f>IF(AND(Tabela4117[[#This Row],[VALORES]]=0,D147=0,D148=0),"",IF(AND(Tabela4117[[#This Row],[VALORES]]=0,D148=0,D149=0),"",IF(AND(Tabela4117[[#This Row],[VALORES]]=0,D149=0,D150=0),"",IF(Tabela4117[[#This Row],[PERCENTUAL EM RELAÇÃO A MÉDIA DOS DEMAIS PREÇOS]]&gt;LIM_SUP,"EXCESSIVAMENTE ELEVADO","VÁLIDO"))))</f>
        <v/>
      </c>
      <c r="H148" s="241" t="str">
        <f>IFERROR(Tabela4117[[#This Row],[VALORES]]/Tabela4117[[#This Row],[MÉDIA DOS DEMAIS]],"")</f>
        <v/>
      </c>
      <c r="I148" s="242" t="str">
        <f>IF(AND(Tabela4117[[#This Row],[VALORES]]=0,D147=0,D148=0),"",IF(AND(Tabela4117[[#This Row],[VALORES]]=0,D148=0,D149=0),"",IF(AND(Tabela4117[[#This Row],[VALORES]]=0,D149=0,D150=0),"",IF(Tabela4117[[#This Row],[PERCENTUAL EM RELAÇÃO A MÉDIA DOS DEMAIS PREÇOS ]]&lt;LIM_INF,"INEXEQUEVEL","VÁLIDO"))))</f>
        <v/>
      </c>
      <c r="J148" s="243" t="str">
        <f>CONCATENATE("&lt;&gt;",Tabela4117[[#This Row],[EMPRESA]])</f>
        <v>&lt;&gt;</v>
      </c>
      <c r="K148" s="214"/>
      <c r="L148" s="244">
        <f t="shared" si="13"/>
        <v>180</v>
      </c>
      <c r="M148" s="212" t="e">
        <f>IF(L148=#REF!,"",IF((L148-#REF!)&lt;0,ROUNDDOWN(L148-#REF!,0)&amp;" dias","+"&amp;ROUNDDOWN(L148-#REF!,0)&amp;" dias"))</f>
        <v>#REF!</v>
      </c>
    </row>
    <row r="149" spans="1:13" ht="10.5" hidden="1" thickTop="1" x14ac:dyDescent="0.15">
      <c r="A149" s="215"/>
      <c r="B149" s="248"/>
      <c r="C149" s="249"/>
      <c r="D149" s="250" t="s">
        <v>284</v>
      </c>
      <c r="E149" s="251" t="str">
        <f>IFERROR(_xlfn.STDEV.S(Tabela4117[VALORES]),"")</f>
        <v/>
      </c>
      <c r="F149" s="527" t="s">
        <v>257</v>
      </c>
      <c r="G149" s="528"/>
      <c r="H149" s="528"/>
      <c r="I149" s="529"/>
      <c r="J149" s="214"/>
    </row>
    <row r="150" spans="1:13" hidden="1" x14ac:dyDescent="0.15">
      <c r="A150" s="215"/>
      <c r="B150" s="252"/>
      <c r="C150" s="253"/>
      <c r="D150" s="254" t="s">
        <v>285</v>
      </c>
      <c r="E150" s="255" t="str">
        <f>IFERROR(TRUNC(E149/E151,4),"")</f>
        <v/>
      </c>
      <c r="F150" s="530"/>
      <c r="G150" s="531"/>
      <c r="H150" s="531"/>
      <c r="I150" s="532"/>
      <c r="J150" s="214"/>
    </row>
    <row r="151" spans="1:13" hidden="1" x14ac:dyDescent="0.15">
      <c r="A151" s="215"/>
      <c r="B151" s="256"/>
      <c r="C151" s="257"/>
      <c r="D151" s="254" t="s">
        <v>258</v>
      </c>
      <c r="E151" s="258" t="str">
        <f>IFERROR(AVERAGE(Tabela4117[VALORES]),"")</f>
        <v/>
      </c>
      <c r="F151" s="516" t="s">
        <v>259</v>
      </c>
      <c r="G151" s="517"/>
      <c r="H151" s="517"/>
      <c r="I151" s="518"/>
      <c r="J151" s="214"/>
    </row>
    <row r="152" spans="1:13" ht="10.5" hidden="1" thickBot="1" x14ac:dyDescent="0.2">
      <c r="A152" s="215"/>
      <c r="B152" s="259"/>
      <c r="C152" s="260" t="s">
        <v>260</v>
      </c>
      <c r="D152" s="260" t="str">
        <f>CONCATENATE(IF(E150&gt;=25%,"MEDIANA","MÉDIA"))</f>
        <v>MEDIANA</v>
      </c>
      <c r="E152" s="261" t="str">
        <f>IFERROR(TRUNC(IF(D152="MEDIANA",MEDIAN(Tabela4117[VALORES]),IF(D152="MÉDIA",AVERAGE(Tabela4117[VALORES]),0)),2),"")</f>
        <v/>
      </c>
      <c r="F152" s="519"/>
      <c r="G152" s="520"/>
      <c r="H152" s="520"/>
      <c r="I152" s="521"/>
      <c r="J152" s="214"/>
    </row>
    <row r="153" spans="1:13" ht="10.5" hidden="1" thickTop="1" x14ac:dyDescent="0.15">
      <c r="A153" s="215"/>
    </row>
  </sheetData>
  <mergeCells count="29">
    <mergeCell ref="F151:I152"/>
    <mergeCell ref="B1:H1"/>
    <mergeCell ref="B2:H2"/>
    <mergeCell ref="B3:E4"/>
    <mergeCell ref="A6:I6"/>
    <mergeCell ref="F129:I130"/>
    <mergeCell ref="F138:I139"/>
    <mergeCell ref="F140:I141"/>
    <mergeCell ref="C143:F143"/>
    <mergeCell ref="F149:I150"/>
    <mergeCell ref="F105:I106"/>
    <mergeCell ref="F107:I108"/>
    <mergeCell ref="F116:I117"/>
    <mergeCell ref="F118:I119"/>
    <mergeCell ref="F127:I128"/>
    <mergeCell ref="F74:I75"/>
    <mergeCell ref="F83:I84"/>
    <mergeCell ref="F85:I86"/>
    <mergeCell ref="F94:I95"/>
    <mergeCell ref="F96:I97"/>
    <mergeCell ref="F72:I73"/>
    <mergeCell ref="F52:I53"/>
    <mergeCell ref="F61:I62"/>
    <mergeCell ref="F63:I64"/>
    <mergeCell ref="F28:I29"/>
    <mergeCell ref="F30:I31"/>
    <mergeCell ref="F39:I40"/>
    <mergeCell ref="F41:I42"/>
    <mergeCell ref="F50:I51"/>
  </mergeCells>
  <conditionalFormatting sqref="L25:L27">
    <cfRule type="cellIs" dxfId="161" priority="23" operator="equal">
      <formula>180</formula>
    </cfRule>
    <cfRule type="cellIs" dxfId="160" priority="24" operator="lessThan">
      <formula>#REF!</formula>
    </cfRule>
  </conditionalFormatting>
  <conditionalFormatting sqref="L36:L38">
    <cfRule type="cellIs" dxfId="159" priority="21" operator="equal">
      <formula>180</formula>
    </cfRule>
    <cfRule type="cellIs" dxfId="158" priority="22" operator="lessThan">
      <formula>#REF!</formula>
    </cfRule>
  </conditionalFormatting>
  <conditionalFormatting sqref="L47:L49">
    <cfRule type="cellIs" dxfId="157" priority="19" operator="equal">
      <formula>180</formula>
    </cfRule>
    <cfRule type="cellIs" dxfId="156" priority="20" operator="lessThan">
      <formula>#REF!</formula>
    </cfRule>
  </conditionalFormatting>
  <conditionalFormatting sqref="L58:L60">
    <cfRule type="cellIs" dxfId="155" priority="17" operator="equal">
      <formula>180</formula>
    </cfRule>
    <cfRule type="cellIs" dxfId="154" priority="18" operator="lessThan">
      <formula>#REF!</formula>
    </cfRule>
  </conditionalFormatting>
  <conditionalFormatting sqref="L69:L71">
    <cfRule type="cellIs" dxfId="153" priority="15" operator="equal">
      <formula>180</formula>
    </cfRule>
    <cfRule type="cellIs" dxfId="152" priority="16" operator="lessThan">
      <formula>#REF!</formula>
    </cfRule>
  </conditionalFormatting>
  <conditionalFormatting sqref="L80:L82">
    <cfRule type="cellIs" dxfId="151" priority="13" operator="equal">
      <formula>180</formula>
    </cfRule>
    <cfRule type="cellIs" dxfId="150" priority="14" operator="lessThan">
      <formula>#REF!</formula>
    </cfRule>
  </conditionalFormatting>
  <conditionalFormatting sqref="L91:L93">
    <cfRule type="cellIs" dxfId="149" priority="11" operator="equal">
      <formula>180</formula>
    </cfRule>
    <cfRule type="cellIs" dxfId="148" priority="12" operator="lessThan">
      <formula>#REF!</formula>
    </cfRule>
  </conditionalFormatting>
  <conditionalFormatting sqref="L102:L104">
    <cfRule type="cellIs" dxfId="147" priority="9" operator="equal">
      <formula>180</formula>
    </cfRule>
    <cfRule type="cellIs" dxfId="146" priority="10" operator="lessThan">
      <formula>#REF!</formula>
    </cfRule>
  </conditionalFormatting>
  <conditionalFormatting sqref="L113:L115">
    <cfRule type="cellIs" dxfId="145" priority="7" operator="equal">
      <formula>180</formula>
    </cfRule>
    <cfRule type="cellIs" dxfId="144" priority="8" operator="lessThan">
      <formula>#REF!</formula>
    </cfRule>
  </conditionalFormatting>
  <conditionalFormatting sqref="L124:L126">
    <cfRule type="cellIs" dxfId="143" priority="5" operator="equal">
      <formula>180</formula>
    </cfRule>
    <cfRule type="cellIs" dxfId="142" priority="6" operator="lessThan">
      <formula>#REF!</formula>
    </cfRule>
  </conditionalFormatting>
  <conditionalFormatting sqref="L135:L137">
    <cfRule type="cellIs" dxfId="141" priority="3" operator="equal">
      <formula>180</formula>
    </cfRule>
    <cfRule type="cellIs" dxfId="140" priority="4" operator="lessThan">
      <formula>#REF!</formula>
    </cfRule>
  </conditionalFormatting>
  <conditionalFormatting sqref="L146:L148">
    <cfRule type="cellIs" dxfId="139" priority="1" operator="equal">
      <formula>180</formula>
    </cfRule>
    <cfRule type="cellIs" dxfId="138" priority="2" operator="lessThan">
      <formula>#REF!</formula>
    </cfRule>
  </conditionalFormatting>
  <printOptions horizontalCentered="1"/>
  <pageMargins left="0.39370078740157483" right="0.39370078740157483" top="0.43307086614173229" bottom="0.74803149606299213" header="0.27559055118110237" footer="0.31496062992125984"/>
  <pageSetup paperSize="9" scale="65" fitToHeight="0" orientation="portrait" r:id="rId1"/>
  <headerFooter>
    <oddHeader>&amp;R&amp;9RCFFS</oddHeader>
    <oddFooter>&amp;L&amp;8&amp;Z&amp;F</oddFooter>
  </headerFooter>
  <rowBreaks count="1" manualBreakCount="1">
    <brk id="75" max="8" man="1"/>
  </rowBreaks>
  <colBreaks count="1" manualBreakCount="1">
    <brk id="9" max="146" man="1"/>
  </colBreaks>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election activeCell="F10" sqref="F10"/>
    </sheetView>
  </sheetViews>
  <sheetFormatPr defaultRowHeight="15" x14ac:dyDescent="0.25"/>
  <cols>
    <col min="1" max="1" width="5.140625" style="99" bestFit="1" customWidth="1"/>
    <col min="2" max="2" width="35.7109375" style="108" bestFit="1" customWidth="1"/>
    <col min="3" max="3" width="14.42578125" style="111" customWidth="1"/>
    <col min="4" max="26" width="14.42578125" style="11" customWidth="1"/>
    <col min="27" max="16384" width="9.140625" style="11"/>
  </cols>
  <sheetData>
    <row r="1" spans="1:6" s="99" customFormat="1" x14ac:dyDescent="0.25">
      <c r="A1" s="96" t="s">
        <v>103</v>
      </c>
      <c r="B1" s="96" t="s">
        <v>100</v>
      </c>
      <c r="C1" s="97" t="s">
        <v>282</v>
      </c>
      <c r="D1" s="96" t="s">
        <v>189</v>
      </c>
      <c r="E1" s="96" t="s">
        <v>188</v>
      </c>
      <c r="F1" s="98" t="s">
        <v>187</v>
      </c>
    </row>
    <row r="2" spans="1:6" x14ac:dyDescent="0.25">
      <c r="A2" s="533">
        <v>1</v>
      </c>
      <c r="B2" s="535" t="str">
        <f>VLOOKUP(A2,'PLANILHA ORÇAMENTÁRIA'!A10:J57,4,FALSE)</f>
        <v>ADMINISTRAÇÃO CANTEIRO DE OBRAS</v>
      </c>
      <c r="C2" s="100">
        <v>1</v>
      </c>
      <c r="D2" s="101">
        <v>0.6</v>
      </c>
      <c r="E2" s="101">
        <v>0.2</v>
      </c>
      <c r="F2" s="102">
        <v>0.2</v>
      </c>
    </row>
    <row r="3" spans="1:6" x14ac:dyDescent="0.25">
      <c r="A3" s="534"/>
      <c r="B3" s="536"/>
      <c r="C3" s="103">
        <f>'PLANILHA ORÇAMENTÁRIA'!I16</f>
        <v>23418.54</v>
      </c>
      <c r="D3" s="104">
        <f>IF(D2="","",TRUNC(D2*$C3,2))</f>
        <v>14051.12</v>
      </c>
      <c r="E3" s="104">
        <f>IF(E2="","",IF(SUM(D2:E2)=1,C3-D3,TRUNC(E2*C3,2)))</f>
        <v>4683.7</v>
      </c>
      <c r="F3" s="105">
        <f>IF(F2="","",IF(SUM($D2:F2)=1,$C3-SUM($D3:E3),TRUNC(F2*$C3,2)))</f>
        <v>4683.7200000000012</v>
      </c>
    </row>
    <row r="4" spans="1:6" x14ac:dyDescent="0.25">
      <c r="A4" s="533">
        <v>2</v>
      </c>
      <c r="B4" s="535" t="str">
        <f>VLOOKUP(A4,'PLANILHA ORÇAMENTÁRIA'!A12:J59,4,FALSE)</f>
        <v>SERVIÇO DE INSTALAÇÕES ELÉTRICAS</v>
      </c>
      <c r="C4" s="100">
        <v>1</v>
      </c>
      <c r="D4" s="101">
        <v>0.6</v>
      </c>
      <c r="E4" s="101">
        <v>0.2</v>
      </c>
      <c r="F4" s="102">
        <v>0.2</v>
      </c>
    </row>
    <row r="5" spans="1:6" x14ac:dyDescent="0.25">
      <c r="A5" s="534"/>
      <c r="B5" s="536"/>
      <c r="C5" s="103">
        <f>'PLANILHA ORÇAMENTÁRIA'!I25</f>
        <v>434940.45</v>
      </c>
      <c r="D5" s="104">
        <f>IF(D4="","",TRUNC(D4*$C5,2))</f>
        <v>260964.27</v>
      </c>
      <c r="E5" s="104">
        <f>IF(E4="","",IF(SUM(D4:E4)=1,C5-D5,TRUNC(E4*C5,2)))</f>
        <v>86988.09</v>
      </c>
      <c r="F5" s="105">
        <f>IF(F4="","",IF(SUM($D4:F4)=1,$C5-SUM($D5:E5),TRUNC(F4*$C5,2)))</f>
        <v>86988.090000000026</v>
      </c>
    </row>
    <row r="6" spans="1:6" x14ac:dyDescent="0.25">
      <c r="A6" s="533">
        <v>3</v>
      </c>
      <c r="B6" s="535" t="str">
        <f>VLOOKUP(A6,'PLANILHA ORÇAMENTÁRIA'!A14:J61,4,FALSE)</f>
        <v>MATERIAIS ELÉTRICOS</v>
      </c>
      <c r="C6" s="100">
        <v>1</v>
      </c>
      <c r="D6" s="101">
        <v>0.6</v>
      </c>
      <c r="E6" s="101">
        <v>0.2</v>
      </c>
      <c r="F6" s="102">
        <v>0.2</v>
      </c>
    </row>
    <row r="7" spans="1:6" x14ac:dyDescent="0.25">
      <c r="A7" s="537"/>
      <c r="B7" s="536"/>
      <c r="C7" s="106">
        <f>'PLANILHA ORÇAMENTÁRIA'!I45</f>
        <v>1484213.46</v>
      </c>
      <c r="D7" s="107">
        <f>IF(D6="","",TRUNC(D6*$C7,2))</f>
        <v>890528.07</v>
      </c>
      <c r="E7" s="104">
        <f>IF(E6="","",IF(SUM(D6:E6)=1,C7-D7,TRUNC(E6*C7,2)))</f>
        <v>296842.69</v>
      </c>
      <c r="F7" s="105">
        <f>IF(F6="","",IF(SUM($D6:F6)=1,$C7-SUM($D7:E7),TRUNC(F6*$C7,2)))</f>
        <v>296842.69999999995</v>
      </c>
    </row>
    <row r="8" spans="1:6" x14ac:dyDescent="0.25">
      <c r="C8" s="109">
        <f>SUMIF(C2:C7,"&gt;1")</f>
        <v>1942572.45</v>
      </c>
      <c r="D8" s="103">
        <f>IF(SUMIF(D2:D7,"&gt;1")=0,"",SUMIF(D2:D7,"&gt;1"))</f>
        <v>1165543.46</v>
      </c>
      <c r="E8" s="103">
        <f>IF(SUMIF(E2:E7,"&gt;1")=0,"",SUMIF(E2:E7,"&gt;1"))</f>
        <v>388514.48</v>
      </c>
      <c r="F8" s="110">
        <f>IF(SUMIF(F2:F7,"&gt;1")=0,"",SUMIF(F2:F7,"&gt;1"))</f>
        <v>388514.51</v>
      </c>
    </row>
    <row r="9" spans="1:6" x14ac:dyDescent="0.25">
      <c r="D9" s="101">
        <f>IFERROR(TRUNC(D8/$C8,4),"")</f>
        <v>0.59989999999999999</v>
      </c>
      <c r="E9" s="101">
        <f>IFERROR(TRUNC(E8/$C8,4),"")</f>
        <v>0.19989999999999999</v>
      </c>
      <c r="F9" s="102">
        <f>1-SUM($D9:E9)</f>
        <v>0.20020000000000004</v>
      </c>
    </row>
    <row r="10" spans="1:6" x14ac:dyDescent="0.25">
      <c r="D10" s="103">
        <f t="shared" ref="D10:F11" si="0">IFERROR(D8+C10,"")</f>
        <v>1165543.46</v>
      </c>
      <c r="E10" s="103">
        <f t="shared" si="0"/>
        <v>1554057.94</v>
      </c>
      <c r="F10" s="110">
        <f t="shared" si="0"/>
        <v>1942572.45</v>
      </c>
    </row>
    <row r="11" spans="1:6" x14ac:dyDescent="0.25">
      <c r="D11" s="112">
        <f t="shared" si="0"/>
        <v>0.59989999999999999</v>
      </c>
      <c r="E11" s="112">
        <f t="shared" si="0"/>
        <v>0.79979999999999996</v>
      </c>
      <c r="F11" s="113">
        <f t="shared" si="0"/>
        <v>1</v>
      </c>
    </row>
  </sheetData>
  <mergeCells count="6">
    <mergeCell ref="A2:A3"/>
    <mergeCell ref="B2:B3"/>
    <mergeCell ref="A4:A5"/>
    <mergeCell ref="B4:B5"/>
    <mergeCell ref="A6:A7"/>
    <mergeCell ref="B6:B7"/>
  </mergeCells>
  <conditionalFormatting sqref="F9">
    <cfRule type="cellIs" dxfId="5" priority="6" operator="equal">
      <formula>1</formula>
    </cfRule>
  </conditionalFormatting>
  <conditionalFormatting sqref="D11:F11">
    <cfRule type="cellIs" dxfId="4" priority="5" operator="equal">
      <formula>0</formula>
    </cfRule>
  </conditionalFormatting>
  <conditionalFormatting sqref="D2:F2">
    <cfRule type="cellIs" dxfId="3" priority="4" operator="notEqual">
      <formula>0</formula>
    </cfRule>
  </conditionalFormatting>
  <conditionalFormatting sqref="D4:F4">
    <cfRule type="cellIs" dxfId="2" priority="3" operator="notEqual">
      <formula>0</formula>
    </cfRule>
  </conditionalFormatting>
  <conditionalFormatting sqref="D6:F6">
    <cfRule type="cellIs" dxfId="1" priority="2" operator="notEqual">
      <formula>0</formula>
    </cfRule>
  </conditionalFormatting>
  <conditionalFormatting sqref="A1:XFD1048576">
    <cfRule type="cellIs" dxfId="0" priority="1" operator="equal">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view="pageBreakPreview" topLeftCell="A7" zoomScaleNormal="100" zoomScaleSheetLayoutView="100" workbookViewId="0">
      <selection activeCell="E6" sqref="E6:F6"/>
    </sheetView>
  </sheetViews>
  <sheetFormatPr defaultRowHeight="15" x14ac:dyDescent="0.25"/>
  <cols>
    <col min="1" max="1" width="2.28515625" customWidth="1"/>
    <col min="2" max="2" width="44.7109375" customWidth="1"/>
    <col min="3" max="5" width="11.42578125" customWidth="1"/>
    <col min="6" max="6" width="17.42578125" customWidth="1"/>
    <col min="7" max="7" width="2.28515625" customWidth="1"/>
    <col min="257" max="257" width="2.28515625" customWidth="1"/>
    <col min="258" max="258" width="44.7109375" customWidth="1"/>
    <col min="259" max="261" width="11.42578125" customWidth="1"/>
    <col min="262" max="262" width="17.42578125" customWidth="1"/>
    <col min="513" max="513" width="2.28515625" customWidth="1"/>
    <col min="514" max="514" width="44.7109375" customWidth="1"/>
    <col min="515" max="517" width="11.42578125" customWidth="1"/>
    <col min="518" max="518" width="17.42578125" customWidth="1"/>
    <col min="769" max="769" width="2.28515625" customWidth="1"/>
    <col min="770" max="770" width="44.7109375" customWidth="1"/>
    <col min="771" max="773" width="11.42578125" customWidth="1"/>
    <col min="774" max="774" width="17.42578125" customWidth="1"/>
    <col min="1025" max="1025" width="2.28515625" customWidth="1"/>
    <col min="1026" max="1026" width="44.7109375" customWidth="1"/>
    <col min="1027" max="1029" width="11.42578125" customWidth="1"/>
    <col min="1030" max="1030" width="17.42578125" customWidth="1"/>
    <col min="1281" max="1281" width="2.28515625" customWidth="1"/>
    <col min="1282" max="1282" width="44.7109375" customWidth="1"/>
    <col min="1283" max="1285" width="11.42578125" customWidth="1"/>
    <col min="1286" max="1286" width="17.42578125" customWidth="1"/>
    <col min="1537" max="1537" width="2.28515625" customWidth="1"/>
    <col min="1538" max="1538" width="44.7109375" customWidth="1"/>
    <col min="1539" max="1541" width="11.42578125" customWidth="1"/>
    <col min="1542" max="1542" width="17.42578125" customWidth="1"/>
    <col min="1793" max="1793" width="2.28515625" customWidth="1"/>
    <col min="1794" max="1794" width="44.7109375" customWidth="1"/>
    <col min="1795" max="1797" width="11.42578125" customWidth="1"/>
    <col min="1798" max="1798" width="17.42578125" customWidth="1"/>
    <col min="2049" max="2049" width="2.28515625" customWidth="1"/>
    <col min="2050" max="2050" width="44.7109375" customWidth="1"/>
    <col min="2051" max="2053" width="11.42578125" customWidth="1"/>
    <col min="2054" max="2054" width="17.42578125" customWidth="1"/>
    <col min="2305" max="2305" width="2.28515625" customWidth="1"/>
    <col min="2306" max="2306" width="44.7109375" customWidth="1"/>
    <col min="2307" max="2309" width="11.42578125" customWidth="1"/>
    <col min="2310" max="2310" width="17.42578125" customWidth="1"/>
    <col min="2561" max="2561" width="2.28515625" customWidth="1"/>
    <col min="2562" max="2562" width="44.7109375" customWidth="1"/>
    <col min="2563" max="2565" width="11.42578125" customWidth="1"/>
    <col min="2566" max="2566" width="17.42578125" customWidth="1"/>
    <col min="2817" max="2817" width="2.28515625" customWidth="1"/>
    <col min="2818" max="2818" width="44.7109375" customWidth="1"/>
    <col min="2819" max="2821" width="11.42578125" customWidth="1"/>
    <col min="2822" max="2822" width="17.42578125" customWidth="1"/>
    <col min="3073" max="3073" width="2.28515625" customWidth="1"/>
    <col min="3074" max="3074" width="44.7109375" customWidth="1"/>
    <col min="3075" max="3077" width="11.42578125" customWidth="1"/>
    <col min="3078" max="3078" width="17.42578125" customWidth="1"/>
    <col min="3329" max="3329" width="2.28515625" customWidth="1"/>
    <col min="3330" max="3330" width="44.7109375" customWidth="1"/>
    <col min="3331" max="3333" width="11.42578125" customWidth="1"/>
    <col min="3334" max="3334" width="17.42578125" customWidth="1"/>
    <col min="3585" max="3585" width="2.28515625" customWidth="1"/>
    <col min="3586" max="3586" width="44.7109375" customWidth="1"/>
    <col min="3587" max="3589" width="11.42578125" customWidth="1"/>
    <col min="3590" max="3590" width="17.42578125" customWidth="1"/>
    <col min="3841" max="3841" width="2.28515625" customWidth="1"/>
    <col min="3842" max="3842" width="44.7109375" customWidth="1"/>
    <col min="3843" max="3845" width="11.42578125" customWidth="1"/>
    <col min="3846" max="3846" width="17.42578125" customWidth="1"/>
    <col min="4097" max="4097" width="2.28515625" customWidth="1"/>
    <col min="4098" max="4098" width="44.7109375" customWidth="1"/>
    <col min="4099" max="4101" width="11.42578125" customWidth="1"/>
    <col min="4102" max="4102" width="17.42578125" customWidth="1"/>
    <col min="4353" max="4353" width="2.28515625" customWidth="1"/>
    <col min="4354" max="4354" width="44.7109375" customWidth="1"/>
    <col min="4355" max="4357" width="11.42578125" customWidth="1"/>
    <col min="4358" max="4358" width="17.42578125" customWidth="1"/>
    <col min="4609" max="4609" width="2.28515625" customWidth="1"/>
    <col min="4610" max="4610" width="44.7109375" customWidth="1"/>
    <col min="4611" max="4613" width="11.42578125" customWidth="1"/>
    <col min="4614" max="4614" width="17.42578125" customWidth="1"/>
    <col min="4865" max="4865" width="2.28515625" customWidth="1"/>
    <col min="4866" max="4866" width="44.7109375" customWidth="1"/>
    <col min="4867" max="4869" width="11.42578125" customWidth="1"/>
    <col min="4870" max="4870" width="17.42578125" customWidth="1"/>
    <col min="5121" max="5121" width="2.28515625" customWidth="1"/>
    <col min="5122" max="5122" width="44.7109375" customWidth="1"/>
    <col min="5123" max="5125" width="11.42578125" customWidth="1"/>
    <col min="5126" max="5126" width="17.42578125" customWidth="1"/>
    <col min="5377" max="5377" width="2.28515625" customWidth="1"/>
    <col min="5378" max="5378" width="44.7109375" customWidth="1"/>
    <col min="5379" max="5381" width="11.42578125" customWidth="1"/>
    <col min="5382" max="5382" width="17.42578125" customWidth="1"/>
    <col min="5633" max="5633" width="2.28515625" customWidth="1"/>
    <col min="5634" max="5634" width="44.7109375" customWidth="1"/>
    <col min="5635" max="5637" width="11.42578125" customWidth="1"/>
    <col min="5638" max="5638" width="17.42578125" customWidth="1"/>
    <col min="5889" max="5889" width="2.28515625" customWidth="1"/>
    <col min="5890" max="5890" width="44.7109375" customWidth="1"/>
    <col min="5891" max="5893" width="11.42578125" customWidth="1"/>
    <col min="5894" max="5894" width="17.42578125" customWidth="1"/>
    <col min="6145" max="6145" width="2.28515625" customWidth="1"/>
    <col min="6146" max="6146" width="44.7109375" customWidth="1"/>
    <col min="6147" max="6149" width="11.42578125" customWidth="1"/>
    <col min="6150" max="6150" width="17.42578125" customWidth="1"/>
    <col min="6401" max="6401" width="2.28515625" customWidth="1"/>
    <col min="6402" max="6402" width="44.7109375" customWidth="1"/>
    <col min="6403" max="6405" width="11.42578125" customWidth="1"/>
    <col min="6406" max="6406" width="17.42578125" customWidth="1"/>
    <col min="6657" max="6657" width="2.28515625" customWidth="1"/>
    <col min="6658" max="6658" width="44.7109375" customWidth="1"/>
    <col min="6659" max="6661" width="11.42578125" customWidth="1"/>
    <col min="6662" max="6662" width="17.42578125" customWidth="1"/>
    <col min="6913" max="6913" width="2.28515625" customWidth="1"/>
    <col min="6914" max="6914" width="44.7109375" customWidth="1"/>
    <col min="6915" max="6917" width="11.42578125" customWidth="1"/>
    <col min="6918" max="6918" width="17.42578125" customWidth="1"/>
    <col min="7169" max="7169" width="2.28515625" customWidth="1"/>
    <col min="7170" max="7170" width="44.7109375" customWidth="1"/>
    <col min="7171" max="7173" width="11.42578125" customWidth="1"/>
    <col min="7174" max="7174" width="17.42578125" customWidth="1"/>
    <col min="7425" max="7425" width="2.28515625" customWidth="1"/>
    <col min="7426" max="7426" width="44.7109375" customWidth="1"/>
    <col min="7427" max="7429" width="11.42578125" customWidth="1"/>
    <col min="7430" max="7430" width="17.42578125" customWidth="1"/>
    <col min="7681" max="7681" width="2.28515625" customWidth="1"/>
    <col min="7682" max="7682" width="44.7109375" customWidth="1"/>
    <col min="7683" max="7685" width="11.42578125" customWidth="1"/>
    <col min="7686" max="7686" width="17.42578125" customWidth="1"/>
    <col min="7937" max="7937" width="2.28515625" customWidth="1"/>
    <col min="7938" max="7938" width="44.7109375" customWidth="1"/>
    <col min="7939" max="7941" width="11.42578125" customWidth="1"/>
    <col min="7942" max="7942" width="17.42578125" customWidth="1"/>
    <col min="8193" max="8193" width="2.28515625" customWidth="1"/>
    <col min="8194" max="8194" width="44.7109375" customWidth="1"/>
    <col min="8195" max="8197" width="11.42578125" customWidth="1"/>
    <col min="8198" max="8198" width="17.42578125" customWidth="1"/>
    <col min="8449" max="8449" width="2.28515625" customWidth="1"/>
    <col min="8450" max="8450" width="44.7109375" customWidth="1"/>
    <col min="8451" max="8453" width="11.42578125" customWidth="1"/>
    <col min="8454" max="8454" width="17.42578125" customWidth="1"/>
    <col min="8705" max="8705" width="2.28515625" customWidth="1"/>
    <col min="8706" max="8706" width="44.7109375" customWidth="1"/>
    <col min="8707" max="8709" width="11.42578125" customWidth="1"/>
    <col min="8710" max="8710" width="17.42578125" customWidth="1"/>
    <col min="8961" max="8961" width="2.28515625" customWidth="1"/>
    <col min="8962" max="8962" width="44.7109375" customWidth="1"/>
    <col min="8963" max="8965" width="11.42578125" customWidth="1"/>
    <col min="8966" max="8966" width="17.42578125" customWidth="1"/>
    <col min="9217" max="9217" width="2.28515625" customWidth="1"/>
    <col min="9218" max="9218" width="44.7109375" customWidth="1"/>
    <col min="9219" max="9221" width="11.42578125" customWidth="1"/>
    <col min="9222" max="9222" width="17.42578125" customWidth="1"/>
    <col min="9473" max="9473" width="2.28515625" customWidth="1"/>
    <col min="9474" max="9474" width="44.7109375" customWidth="1"/>
    <col min="9475" max="9477" width="11.42578125" customWidth="1"/>
    <col min="9478" max="9478" width="17.42578125" customWidth="1"/>
    <col min="9729" max="9729" width="2.28515625" customWidth="1"/>
    <col min="9730" max="9730" width="44.7109375" customWidth="1"/>
    <col min="9731" max="9733" width="11.42578125" customWidth="1"/>
    <col min="9734" max="9734" width="17.42578125" customWidth="1"/>
    <col min="9985" max="9985" width="2.28515625" customWidth="1"/>
    <col min="9986" max="9986" width="44.7109375" customWidth="1"/>
    <col min="9987" max="9989" width="11.42578125" customWidth="1"/>
    <col min="9990" max="9990" width="17.42578125" customWidth="1"/>
    <col min="10241" max="10241" width="2.28515625" customWidth="1"/>
    <col min="10242" max="10242" width="44.7109375" customWidth="1"/>
    <col min="10243" max="10245" width="11.42578125" customWidth="1"/>
    <col min="10246" max="10246" width="17.42578125" customWidth="1"/>
    <col min="10497" max="10497" width="2.28515625" customWidth="1"/>
    <col min="10498" max="10498" width="44.7109375" customWidth="1"/>
    <col min="10499" max="10501" width="11.42578125" customWidth="1"/>
    <col min="10502" max="10502" width="17.42578125" customWidth="1"/>
    <col min="10753" max="10753" width="2.28515625" customWidth="1"/>
    <col min="10754" max="10754" width="44.7109375" customWidth="1"/>
    <col min="10755" max="10757" width="11.42578125" customWidth="1"/>
    <col min="10758" max="10758" width="17.42578125" customWidth="1"/>
    <col min="11009" max="11009" width="2.28515625" customWidth="1"/>
    <col min="11010" max="11010" width="44.7109375" customWidth="1"/>
    <col min="11011" max="11013" width="11.42578125" customWidth="1"/>
    <col min="11014" max="11014" width="17.42578125" customWidth="1"/>
    <col min="11265" max="11265" width="2.28515625" customWidth="1"/>
    <col min="11266" max="11266" width="44.7109375" customWidth="1"/>
    <col min="11267" max="11269" width="11.42578125" customWidth="1"/>
    <col min="11270" max="11270" width="17.42578125" customWidth="1"/>
    <col min="11521" max="11521" width="2.28515625" customWidth="1"/>
    <col min="11522" max="11522" width="44.7109375" customWidth="1"/>
    <col min="11523" max="11525" width="11.42578125" customWidth="1"/>
    <col min="11526" max="11526" width="17.42578125" customWidth="1"/>
    <col min="11777" max="11777" width="2.28515625" customWidth="1"/>
    <col min="11778" max="11778" width="44.7109375" customWidth="1"/>
    <col min="11779" max="11781" width="11.42578125" customWidth="1"/>
    <col min="11782" max="11782" width="17.42578125" customWidth="1"/>
    <col min="12033" max="12033" width="2.28515625" customWidth="1"/>
    <col min="12034" max="12034" width="44.7109375" customWidth="1"/>
    <col min="12035" max="12037" width="11.42578125" customWidth="1"/>
    <col min="12038" max="12038" width="17.42578125" customWidth="1"/>
    <col min="12289" max="12289" width="2.28515625" customWidth="1"/>
    <col min="12290" max="12290" width="44.7109375" customWidth="1"/>
    <col min="12291" max="12293" width="11.42578125" customWidth="1"/>
    <col min="12294" max="12294" width="17.42578125" customWidth="1"/>
    <col min="12545" max="12545" width="2.28515625" customWidth="1"/>
    <col min="12546" max="12546" width="44.7109375" customWidth="1"/>
    <col min="12547" max="12549" width="11.42578125" customWidth="1"/>
    <col min="12550" max="12550" width="17.42578125" customWidth="1"/>
    <col min="12801" max="12801" width="2.28515625" customWidth="1"/>
    <col min="12802" max="12802" width="44.7109375" customWidth="1"/>
    <col min="12803" max="12805" width="11.42578125" customWidth="1"/>
    <col min="12806" max="12806" width="17.42578125" customWidth="1"/>
    <col min="13057" max="13057" width="2.28515625" customWidth="1"/>
    <col min="13058" max="13058" width="44.7109375" customWidth="1"/>
    <col min="13059" max="13061" width="11.42578125" customWidth="1"/>
    <col min="13062" max="13062" width="17.42578125" customWidth="1"/>
    <col min="13313" max="13313" width="2.28515625" customWidth="1"/>
    <col min="13314" max="13314" width="44.7109375" customWidth="1"/>
    <col min="13315" max="13317" width="11.42578125" customWidth="1"/>
    <col min="13318" max="13318" width="17.42578125" customWidth="1"/>
    <col min="13569" max="13569" width="2.28515625" customWidth="1"/>
    <col min="13570" max="13570" width="44.7109375" customWidth="1"/>
    <col min="13571" max="13573" width="11.42578125" customWidth="1"/>
    <col min="13574" max="13574" width="17.42578125" customWidth="1"/>
    <col min="13825" max="13825" width="2.28515625" customWidth="1"/>
    <col min="13826" max="13826" width="44.7109375" customWidth="1"/>
    <col min="13827" max="13829" width="11.42578125" customWidth="1"/>
    <col min="13830" max="13830" width="17.42578125" customWidth="1"/>
    <col min="14081" max="14081" width="2.28515625" customWidth="1"/>
    <col min="14082" max="14082" width="44.7109375" customWidth="1"/>
    <col min="14083" max="14085" width="11.42578125" customWidth="1"/>
    <col min="14086" max="14086" width="17.42578125" customWidth="1"/>
    <col min="14337" max="14337" width="2.28515625" customWidth="1"/>
    <col min="14338" max="14338" width="44.7109375" customWidth="1"/>
    <col min="14339" max="14341" width="11.42578125" customWidth="1"/>
    <col min="14342" max="14342" width="17.42578125" customWidth="1"/>
    <col min="14593" max="14593" width="2.28515625" customWidth="1"/>
    <col min="14594" max="14594" width="44.7109375" customWidth="1"/>
    <col min="14595" max="14597" width="11.42578125" customWidth="1"/>
    <col min="14598" max="14598" width="17.42578125" customWidth="1"/>
    <col min="14849" max="14849" width="2.28515625" customWidth="1"/>
    <col min="14850" max="14850" width="44.7109375" customWidth="1"/>
    <col min="14851" max="14853" width="11.42578125" customWidth="1"/>
    <col min="14854" max="14854" width="17.42578125" customWidth="1"/>
    <col min="15105" max="15105" width="2.28515625" customWidth="1"/>
    <col min="15106" max="15106" width="44.7109375" customWidth="1"/>
    <col min="15107" max="15109" width="11.42578125" customWidth="1"/>
    <col min="15110" max="15110" width="17.42578125" customWidth="1"/>
    <col min="15361" max="15361" width="2.28515625" customWidth="1"/>
    <col min="15362" max="15362" width="44.7109375" customWidth="1"/>
    <col min="15363" max="15365" width="11.42578125" customWidth="1"/>
    <col min="15366" max="15366" width="17.42578125" customWidth="1"/>
    <col min="15617" max="15617" width="2.28515625" customWidth="1"/>
    <col min="15618" max="15618" width="44.7109375" customWidth="1"/>
    <col min="15619" max="15621" width="11.42578125" customWidth="1"/>
    <col min="15622" max="15622" width="17.42578125" customWidth="1"/>
    <col min="15873" max="15873" width="2.28515625" customWidth="1"/>
    <col min="15874" max="15874" width="44.7109375" customWidth="1"/>
    <col min="15875" max="15877" width="11.42578125" customWidth="1"/>
    <col min="15878" max="15878" width="17.42578125" customWidth="1"/>
    <col min="16129" max="16129" width="2.28515625" customWidth="1"/>
    <col min="16130" max="16130" width="44.7109375" customWidth="1"/>
    <col min="16131" max="16133" width="11.42578125" customWidth="1"/>
    <col min="16134" max="16134" width="17.42578125" customWidth="1"/>
  </cols>
  <sheetData>
    <row r="1" spans="1:15" s="39" customFormat="1" ht="12.75" x14ac:dyDescent="0.25">
      <c r="A1" s="551" t="s">
        <v>112</v>
      </c>
      <c r="B1" s="472"/>
      <c r="C1" s="472"/>
      <c r="D1" s="472"/>
      <c r="E1" s="472"/>
      <c r="F1" s="552"/>
      <c r="G1" s="40"/>
      <c r="H1" s="40"/>
      <c r="I1" s="40"/>
      <c r="J1" s="40"/>
      <c r="K1" s="40"/>
      <c r="L1" s="40"/>
      <c r="M1" s="40"/>
      <c r="N1" s="549"/>
      <c r="O1" s="549"/>
    </row>
    <row r="2" spans="1:15" s="39" customFormat="1" ht="14.25" x14ac:dyDescent="0.25">
      <c r="A2" s="553" t="s">
        <v>111</v>
      </c>
      <c r="B2" s="473"/>
      <c r="C2" s="473"/>
      <c r="D2" s="473"/>
      <c r="E2" s="473"/>
      <c r="F2" s="554"/>
      <c r="G2" s="40"/>
      <c r="H2" s="40"/>
      <c r="I2" s="40"/>
      <c r="J2" s="40"/>
      <c r="K2" s="40"/>
      <c r="L2" s="40"/>
      <c r="M2" s="40"/>
      <c r="N2" s="550"/>
      <c r="O2" s="550"/>
    </row>
    <row r="3" spans="1:15" s="39" customFormat="1" ht="12.75" x14ac:dyDescent="0.25">
      <c r="A3" s="553" t="s">
        <v>237</v>
      </c>
      <c r="B3" s="473"/>
      <c r="C3" s="473"/>
      <c r="D3" s="473"/>
      <c r="E3" s="473"/>
      <c r="F3" s="554"/>
      <c r="G3" s="40"/>
      <c r="H3" s="40"/>
      <c r="I3" s="40"/>
      <c r="J3" s="40"/>
      <c r="K3" s="40"/>
      <c r="L3" s="40"/>
      <c r="M3" s="40"/>
      <c r="N3" s="549"/>
      <c r="O3" s="549"/>
    </row>
    <row r="4" spans="1:15" ht="15.75" thickBot="1" x14ac:dyDescent="0.3">
      <c r="A4" s="75"/>
      <c r="B4" s="61"/>
      <c r="C4" s="61"/>
      <c r="D4" s="61"/>
      <c r="E4" s="61"/>
      <c r="F4" s="60"/>
    </row>
    <row r="5" spans="1:15" ht="15.75" thickBot="1" x14ac:dyDescent="0.3">
      <c r="A5" s="75"/>
      <c r="B5" s="540" t="s">
        <v>236</v>
      </c>
      <c r="C5" s="540"/>
      <c r="D5" s="540"/>
      <c r="E5" s="540"/>
      <c r="F5" s="541"/>
      <c r="G5" s="29"/>
    </row>
    <row r="6" spans="1:15" ht="63" customHeight="1" x14ac:dyDescent="0.25">
      <c r="A6" s="75"/>
      <c r="B6" s="44" t="s">
        <v>235</v>
      </c>
      <c r="C6" s="542" t="s">
        <v>234</v>
      </c>
      <c r="D6" s="542"/>
      <c r="E6" s="547" t="s">
        <v>233</v>
      </c>
      <c r="F6" s="548"/>
      <c r="G6" s="29"/>
    </row>
    <row r="7" spans="1:15" ht="48" customHeight="1" x14ac:dyDescent="0.25">
      <c r="A7" s="75"/>
      <c r="B7" s="44" t="s">
        <v>232</v>
      </c>
      <c r="C7" s="76"/>
      <c r="D7" s="76"/>
      <c r="E7" s="76"/>
      <c r="F7" s="77"/>
      <c r="G7" s="29"/>
    </row>
    <row r="8" spans="1:15" x14ac:dyDescent="0.25">
      <c r="A8" s="75"/>
      <c r="B8" s="78"/>
      <c r="C8" s="76"/>
      <c r="D8" s="76"/>
      <c r="E8" s="543" t="s">
        <v>231</v>
      </c>
      <c r="F8" s="544"/>
      <c r="G8" s="29"/>
    </row>
    <row r="9" spans="1:15" x14ac:dyDescent="0.25">
      <c r="A9" s="75"/>
      <c r="B9" s="37" t="s">
        <v>230</v>
      </c>
      <c r="C9" s="36" t="s">
        <v>229</v>
      </c>
      <c r="D9" s="36" t="s">
        <v>228</v>
      </c>
      <c r="E9" s="36" t="s">
        <v>227</v>
      </c>
      <c r="F9" s="79" t="s">
        <v>226</v>
      </c>
      <c r="G9" s="29"/>
    </row>
    <row r="10" spans="1:15" x14ac:dyDescent="0.25">
      <c r="A10" s="75"/>
      <c r="B10" s="34" t="s">
        <v>225</v>
      </c>
      <c r="C10" s="33">
        <v>5.2900000000000003E-2</v>
      </c>
      <c r="D10" s="33">
        <v>5.9200000000000003E-2</v>
      </c>
      <c r="E10" s="33">
        <v>7.9299999999999995E-2</v>
      </c>
      <c r="F10" s="80">
        <v>5.9200000000000003E-2</v>
      </c>
      <c r="G10" s="29"/>
    </row>
    <row r="11" spans="1:15" x14ac:dyDescent="0.25">
      <c r="A11" s="75"/>
      <c r="B11" s="34" t="s">
        <v>224</v>
      </c>
      <c r="C11" s="33">
        <v>2.5000000000000001E-3</v>
      </c>
      <c r="D11" s="33">
        <v>5.1000000000000004E-3</v>
      </c>
      <c r="E11" s="33">
        <v>5.5999999999999999E-3</v>
      </c>
      <c r="F11" s="80">
        <v>5.1000000000000004E-3</v>
      </c>
      <c r="G11" s="29"/>
    </row>
    <row r="12" spans="1:15" x14ac:dyDescent="0.25">
      <c r="A12" s="75"/>
      <c r="B12" s="34" t="s">
        <v>223</v>
      </c>
      <c r="C12" s="33">
        <v>0.01</v>
      </c>
      <c r="D12" s="33">
        <v>1.4800000000000001E-2</v>
      </c>
      <c r="E12" s="33">
        <v>1.9699999999999999E-2</v>
      </c>
      <c r="F12" s="80">
        <v>1.4800000000000001E-2</v>
      </c>
      <c r="G12" s="29"/>
    </row>
    <row r="13" spans="1:15" x14ac:dyDescent="0.25">
      <c r="A13" s="75"/>
      <c r="B13" s="34" t="s">
        <v>222</v>
      </c>
      <c r="C13" s="33">
        <v>1.01E-2</v>
      </c>
      <c r="D13" s="33">
        <v>1.0699999999999999E-2</v>
      </c>
      <c r="E13" s="33">
        <v>1.11E-2</v>
      </c>
      <c r="F13" s="80">
        <v>1.0699999999999999E-2</v>
      </c>
      <c r="G13" s="29"/>
    </row>
    <row r="14" spans="1:15" x14ac:dyDescent="0.25">
      <c r="A14" s="75"/>
      <c r="B14" s="34" t="s">
        <v>221</v>
      </c>
      <c r="C14" s="33">
        <v>0.08</v>
      </c>
      <c r="D14" s="33">
        <v>8.3099999999999993E-2</v>
      </c>
      <c r="E14" s="33">
        <v>9.5100000000000004E-2</v>
      </c>
      <c r="F14" s="80">
        <v>8.3099999999999993E-2</v>
      </c>
      <c r="G14" s="29"/>
    </row>
    <row r="15" spans="1:15" x14ac:dyDescent="0.25">
      <c r="A15" s="75"/>
      <c r="B15" s="32" t="s">
        <v>220</v>
      </c>
      <c r="C15" s="31"/>
      <c r="D15" s="31"/>
      <c r="E15" s="31"/>
      <c r="F15" s="81">
        <f>SUM(F16:F19)</f>
        <v>6.6500000000000004E-2</v>
      </c>
      <c r="G15" s="29"/>
    </row>
    <row r="16" spans="1:15" s="24" customFormat="1" ht="12" x14ac:dyDescent="0.2">
      <c r="A16" s="82"/>
      <c r="B16" s="28"/>
      <c r="C16" s="27"/>
      <c r="D16" s="27"/>
      <c r="E16" s="26" t="s">
        <v>219</v>
      </c>
      <c r="F16" s="83">
        <v>6.4999999999999997E-3</v>
      </c>
      <c r="G16" s="25"/>
    </row>
    <row r="17" spans="1:7" s="24" customFormat="1" ht="12" x14ac:dyDescent="0.2">
      <c r="A17" s="82"/>
      <c r="B17" s="28"/>
      <c r="C17" s="27"/>
      <c r="D17" s="27"/>
      <c r="E17" s="26" t="s">
        <v>218</v>
      </c>
      <c r="F17" s="83">
        <v>0.03</v>
      </c>
      <c r="G17" s="25"/>
    </row>
    <row r="18" spans="1:7" s="24" customFormat="1" ht="12" x14ac:dyDescent="0.2">
      <c r="A18" s="82"/>
      <c r="B18" s="28"/>
      <c r="C18" s="27"/>
      <c r="D18" s="27"/>
      <c r="E18" s="26" t="s">
        <v>217</v>
      </c>
      <c r="F18" s="83">
        <v>0.03</v>
      </c>
      <c r="G18" s="25"/>
    </row>
    <row r="19" spans="1:7" s="24" customFormat="1" ht="12" x14ac:dyDescent="0.2">
      <c r="A19" s="82"/>
      <c r="B19" s="28"/>
      <c r="C19" s="27"/>
      <c r="D19" s="27"/>
      <c r="E19" s="26" t="s">
        <v>216</v>
      </c>
      <c r="F19" s="83">
        <v>0</v>
      </c>
      <c r="G19" s="25"/>
    </row>
    <row r="20" spans="1:7" s="21" customFormat="1" x14ac:dyDescent="0.25">
      <c r="A20" s="84"/>
      <c r="B20" s="545" t="s">
        <v>215</v>
      </c>
      <c r="C20" s="546"/>
      <c r="D20" s="546"/>
      <c r="E20" s="546"/>
      <c r="F20" s="85">
        <v>0.26540000000000002</v>
      </c>
      <c r="G20" s="22"/>
    </row>
    <row r="21" spans="1:7" x14ac:dyDescent="0.25">
      <c r="A21" s="75"/>
      <c r="B21" s="61"/>
      <c r="C21" s="61"/>
      <c r="D21" s="61"/>
      <c r="E21" s="61"/>
      <c r="F21" s="60"/>
    </row>
    <row r="22" spans="1:7" x14ac:dyDescent="0.25">
      <c r="A22" s="75"/>
      <c r="B22" s="86" t="s">
        <v>214</v>
      </c>
      <c r="C22" s="61"/>
      <c r="D22" s="61"/>
      <c r="E22" s="61"/>
      <c r="F22" s="60"/>
    </row>
    <row r="23" spans="1:7" x14ac:dyDescent="0.25">
      <c r="A23" s="75"/>
      <c r="B23" s="87"/>
      <c r="C23" s="61"/>
      <c r="D23" s="61"/>
      <c r="E23" s="61"/>
      <c r="F23" s="60"/>
    </row>
    <row r="24" spans="1:7" x14ac:dyDescent="0.25">
      <c r="A24" s="75"/>
      <c r="B24" s="87"/>
      <c r="C24" s="61"/>
      <c r="D24" s="61"/>
      <c r="E24" s="61"/>
      <c r="F24" s="60"/>
    </row>
    <row r="25" spans="1:7" x14ac:dyDescent="0.25">
      <c r="A25" s="75"/>
      <c r="B25" s="87"/>
      <c r="C25" s="61"/>
      <c r="D25" s="61"/>
      <c r="E25" s="61"/>
      <c r="F25" s="60"/>
    </row>
    <row r="26" spans="1:7" x14ac:dyDescent="0.25">
      <c r="A26" s="75"/>
      <c r="B26" s="87"/>
      <c r="C26" s="61"/>
      <c r="D26" s="61"/>
      <c r="E26" s="61"/>
      <c r="F26" s="60"/>
    </row>
    <row r="27" spans="1:7" x14ac:dyDescent="0.25">
      <c r="A27" s="75"/>
      <c r="B27" s="87"/>
      <c r="C27" s="61"/>
      <c r="D27" s="61"/>
      <c r="E27" s="61"/>
      <c r="F27" s="60"/>
    </row>
    <row r="28" spans="1:7" x14ac:dyDescent="0.25">
      <c r="A28" s="75"/>
      <c r="B28" s="87" t="s">
        <v>213</v>
      </c>
      <c r="C28" s="61"/>
      <c r="D28" s="61"/>
      <c r="E28" s="61"/>
      <c r="F28" s="60"/>
    </row>
    <row r="29" spans="1:7" x14ac:dyDescent="0.25">
      <c r="A29" s="75"/>
      <c r="B29" s="87" t="s">
        <v>212</v>
      </c>
      <c r="C29" s="61"/>
      <c r="D29" s="61"/>
      <c r="E29" s="61"/>
      <c r="F29" s="60"/>
    </row>
    <row r="30" spans="1:7" x14ac:dyDescent="0.25">
      <c r="A30" s="75"/>
      <c r="B30" s="87" t="s">
        <v>211</v>
      </c>
      <c r="C30" s="61"/>
      <c r="D30" s="61"/>
      <c r="E30" s="61"/>
      <c r="F30" s="60"/>
    </row>
    <row r="31" spans="1:7" x14ac:dyDescent="0.25">
      <c r="A31" s="75"/>
      <c r="B31" s="87" t="s">
        <v>210</v>
      </c>
      <c r="C31" s="61"/>
      <c r="D31" s="61"/>
      <c r="E31" s="61"/>
      <c r="F31" s="60"/>
    </row>
    <row r="32" spans="1:7" x14ac:dyDescent="0.25">
      <c r="A32" s="75"/>
      <c r="B32" s="87" t="s">
        <v>209</v>
      </c>
      <c r="C32" s="61"/>
      <c r="D32" s="61"/>
      <c r="E32" s="61"/>
      <c r="F32" s="60"/>
    </row>
    <row r="33" spans="1:6" x14ac:dyDescent="0.25">
      <c r="A33" s="75"/>
      <c r="B33" s="87" t="s">
        <v>208</v>
      </c>
      <c r="C33" s="61"/>
      <c r="D33" s="61"/>
      <c r="E33" s="61"/>
      <c r="F33" s="60"/>
    </row>
    <row r="34" spans="1:6" x14ac:dyDescent="0.25">
      <c r="A34" s="75"/>
      <c r="B34" s="87" t="s">
        <v>207</v>
      </c>
      <c r="C34" s="61"/>
      <c r="D34" s="61"/>
      <c r="E34" s="61"/>
      <c r="F34" s="60"/>
    </row>
    <row r="35" spans="1:6" x14ac:dyDescent="0.25">
      <c r="A35" s="75"/>
      <c r="B35" s="87" t="s">
        <v>206</v>
      </c>
      <c r="C35" s="61"/>
      <c r="D35" s="61"/>
      <c r="E35" s="61"/>
      <c r="F35" s="60"/>
    </row>
    <row r="36" spans="1:6" x14ac:dyDescent="0.25">
      <c r="A36" s="75"/>
      <c r="B36" s="87" t="s">
        <v>205</v>
      </c>
      <c r="C36" s="61"/>
      <c r="D36" s="61"/>
      <c r="E36" s="61"/>
      <c r="F36" s="60"/>
    </row>
    <row r="37" spans="1:6" ht="27.75" customHeight="1" thickBot="1" x14ac:dyDescent="0.3">
      <c r="A37" s="88"/>
      <c r="B37" s="538" t="s">
        <v>204</v>
      </c>
      <c r="C37" s="538"/>
      <c r="D37" s="538"/>
      <c r="E37" s="538"/>
      <c r="F37" s="539"/>
    </row>
  </sheetData>
  <mergeCells count="12">
    <mergeCell ref="N1:O1"/>
    <mergeCell ref="N2:O2"/>
    <mergeCell ref="N3:O3"/>
    <mergeCell ref="A1:F1"/>
    <mergeCell ref="A2:F2"/>
    <mergeCell ref="A3:F3"/>
    <mergeCell ref="B37:F37"/>
    <mergeCell ref="B5:F5"/>
    <mergeCell ref="C6:D6"/>
    <mergeCell ref="E8:F8"/>
    <mergeCell ref="B20:E20"/>
    <mergeCell ref="E6:F6"/>
  </mergeCells>
  <pageMargins left="0.51181102362204722" right="0.51181102362204722" top="0.78740157480314965" bottom="0.78740157480314965" header="0.31496062992125984" footer="0.31496062992125984"/>
  <pageSetup paperSize="9" scale="95" orientation="portrait" r:id="rId1"/>
  <headerFooter>
    <oddFooter>&amp;CR. Mte. Estanislau Panatier, 1199 - Jardim Monumento, Campo Grande - MS, CEP: 79063-000 – Fone (067) 3314-3600 - ramal 3640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15</vt:i4>
      </vt:variant>
    </vt:vector>
  </HeadingPairs>
  <TitlesOfParts>
    <vt:vector size="25" baseType="lpstr">
      <vt:lpstr>QUADRO RESUMO</vt:lpstr>
      <vt:lpstr>PLANILHA ORÇAMENTÁRIA</vt:lpstr>
      <vt:lpstr>COMP. PRÓPRIA</vt:lpstr>
      <vt:lpstr>MEMÓRIA DE CALCULO</vt:lpstr>
      <vt:lpstr>MAPA DE COTAÇÃO</vt:lpstr>
      <vt:lpstr>CRONOGRAMA</vt:lpstr>
      <vt:lpstr>MAPA COTAÇÃO</vt:lpstr>
      <vt:lpstr>Cronograma (2)</vt:lpstr>
      <vt:lpstr>BDI ENG. ELÉTRICA</vt:lpstr>
      <vt:lpstr>BDI FORNECIMENTO MATERIAL</vt:lpstr>
      <vt:lpstr>'BDI ENG. ELÉTRICA'!Area_de_impressao</vt:lpstr>
      <vt:lpstr>'BDI FORNECIMENTO MATERIAL'!Area_de_impressao</vt:lpstr>
      <vt:lpstr>'MAPA COTAÇÃO'!Area_de_impressao</vt:lpstr>
      <vt:lpstr>'MEMÓRIA DE CALCULO'!Area_de_impressao</vt:lpstr>
      <vt:lpstr>'PLANILHA ORÇAMENTÁRIA'!Area_de_impressao</vt:lpstr>
      <vt:lpstr>'QUADRO RESUMO'!Area_de_impressao</vt:lpstr>
      <vt:lpstr>'MAPA COTAÇÃO'!LIM_INF</vt:lpstr>
      <vt:lpstr>'MAPA DE COTAÇÃO'!LIM_INF</vt:lpstr>
      <vt:lpstr>'MAPA COTAÇÃO'!LIM_SUP</vt:lpstr>
      <vt:lpstr>'MAPA DE COTAÇÃO'!LIM_SUP</vt:lpstr>
      <vt:lpstr>'BDI ENG. ELÉTRICA'!Print_Area</vt:lpstr>
      <vt:lpstr>'BDI FORNECIMENTO MATERIAL'!Print_Area</vt:lpstr>
      <vt:lpstr>CRONOGRAMA!Print_Area</vt:lpstr>
      <vt:lpstr>'MEMÓRIA DE CALCULO'!Print_Area</vt:lpstr>
      <vt:lpstr>'PLANILHA ORÇAMENTÁRIA'!Print_Area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Malcon Robert Utuari Santos</dc:creator>
  <cp:lastModifiedBy>Ricielle de Oliveira Fernandes</cp:lastModifiedBy>
  <cp:lastPrinted>2025-09-17T12:50:46Z</cp:lastPrinted>
  <dcterms:created xsi:type="dcterms:W3CDTF">2025-08-28T11:34:54Z</dcterms:created>
  <dcterms:modified xsi:type="dcterms:W3CDTF">2025-10-07T20:38:57Z</dcterms:modified>
</cp:coreProperties>
</file>